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meperaa-8\OneDrive - MOU S.A\ΠΡΟΣΚΛΗΣΕΙΣ\4580_ΟΦΥΠΕΚΑ\ΣΥΝΗΜΜΕΝΑ\"/>
    </mc:Choice>
  </mc:AlternateContent>
  <bookViews>
    <workbookView xWindow="480" yWindow="36" windowWidth="18192" windowHeight="11316" firstSheet="1" activeTab="2"/>
  </bookViews>
  <sheets>
    <sheet name="Π.Ε.-ΕΠΙΛΕΞ.ΔΑΠ." sheetId="26" r:id="rId1"/>
    <sheet name="ΑΝΑΛΥΣΗ ΚΟΣΤΟΥΣ" sheetId="4" r:id="rId2"/>
    <sheet name="ΧΡΟΝΟΧΡΕΩΣΗ" sheetId="6" r:id="rId3"/>
    <sheet name="ΣΥΝΟΛΙΚΟ" sheetId="1" r:id="rId4"/>
    <sheet name="ΠΡΟΜΗΘΕΙΕΣ" sheetId="8" r:id="rId5"/>
    <sheet name="ΥΠΗΡΕΣΙΕΣ" sheetId="20" r:id="rId6"/>
    <sheet name="ΥΦΙΣΤΑΜΕΝΟΣ ΕΞΟΠΛΙΣΜΟΣ" sheetId="12" r:id="rId7"/>
    <sheet name="Φύλλο1" sheetId="28" r:id="rId8"/>
  </sheets>
  <definedNames>
    <definedName name="_xlnm._FilterDatabase" localSheetId="3" hidden="1">ΣΥΝΟΛΙΚΟ!$A$1:$W$24</definedName>
    <definedName name="_xlnm.Print_Area" localSheetId="3">ΣΥΝΟΛΙΚΟ!$A$1:$W$20</definedName>
  </definedNames>
  <calcPr calcId="162913"/>
</workbook>
</file>

<file path=xl/calcChain.xml><?xml version="1.0" encoding="utf-8"?>
<calcChain xmlns="http://schemas.openxmlformats.org/spreadsheetml/2006/main">
  <c r="S17" i="6" l="1"/>
  <c r="AA29" i="4"/>
  <c r="Z29" i="4"/>
  <c r="T45" i="4"/>
  <c r="T39" i="4"/>
  <c r="T32" i="4"/>
  <c r="T33" i="4"/>
  <c r="T34" i="4"/>
  <c r="T35" i="4"/>
  <c r="T36" i="4"/>
  <c r="T37" i="4"/>
  <c r="T38" i="4"/>
  <c r="T31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3" i="4"/>
  <c r="R29" i="4"/>
  <c r="R41" i="4" s="1"/>
  <c r="S29" i="4"/>
  <c r="S41" i="4" s="1"/>
  <c r="K23" i="1"/>
  <c r="J23" i="1"/>
  <c r="G23" i="1"/>
  <c r="K22" i="1"/>
  <c r="J22" i="1"/>
  <c r="G22" i="1"/>
  <c r="Q18" i="6"/>
  <c r="R18" i="6"/>
  <c r="Q13" i="6"/>
  <c r="Q14" i="6"/>
  <c r="Q17" i="6"/>
  <c r="R17" i="6"/>
  <c r="S13" i="6"/>
  <c r="S14" i="6"/>
  <c r="R3" i="6"/>
  <c r="Q3" i="6"/>
  <c r="R45" i="4"/>
  <c r="S45" i="4"/>
  <c r="R39" i="4"/>
  <c r="S39" i="4"/>
  <c r="S47" i="4" l="1"/>
  <c r="R47" i="4"/>
  <c r="F29" i="4"/>
  <c r="K29" i="4"/>
  <c r="M29" i="4"/>
  <c r="O29" i="4"/>
  <c r="W33" i="4" l="1"/>
  <c r="W2" i="6" l="1"/>
  <c r="D14" i="6"/>
  <c r="D13" i="6"/>
  <c r="D12" i="6"/>
  <c r="D11" i="6"/>
  <c r="D10" i="6"/>
  <c r="D9" i="6"/>
  <c r="D6" i="6"/>
  <c r="D5" i="6"/>
  <c r="D4" i="6"/>
  <c r="D3" i="6"/>
  <c r="J17" i="6"/>
  <c r="J18" i="1" l="1"/>
  <c r="J10" i="1"/>
  <c r="J8" i="1"/>
  <c r="V13" i="6"/>
  <c r="J21" i="1"/>
  <c r="J19" i="1"/>
  <c r="J15" i="1"/>
  <c r="J11" i="1"/>
  <c r="J7" i="1"/>
  <c r="J6" i="1"/>
  <c r="J5" i="1"/>
  <c r="J4" i="1"/>
  <c r="J2" i="1"/>
  <c r="G17" i="1"/>
  <c r="G16" i="1"/>
  <c r="G20" i="1"/>
  <c r="G18" i="1"/>
  <c r="G14" i="1"/>
  <c r="G13" i="1"/>
  <c r="G12" i="1"/>
  <c r="G8" i="1"/>
  <c r="G9" i="1"/>
  <c r="G3" i="1"/>
  <c r="K2" i="8" l="1"/>
  <c r="L2" i="8"/>
  <c r="J3" i="8"/>
  <c r="K3" i="8" s="1"/>
  <c r="N3" i="4"/>
  <c r="G10" i="4"/>
  <c r="Z9" i="4"/>
  <c r="Q14" i="4"/>
  <c r="Q29" i="4" s="1"/>
  <c r="G21" i="1" s="1"/>
  <c r="P14" i="4"/>
  <c r="Y9" i="4"/>
  <c r="X9" i="4"/>
  <c r="AA9" i="4"/>
  <c r="P3" i="4"/>
  <c r="Y18" i="4"/>
  <c r="X18" i="4"/>
  <c r="AB18" i="4" s="1"/>
  <c r="AA34" i="4"/>
  <c r="AB34" i="4" s="1"/>
  <c r="X33" i="4"/>
  <c r="L14" i="4"/>
  <c r="AA23" i="4"/>
  <c r="Z23" i="4"/>
  <c r="Y23" i="4"/>
  <c r="X23" i="4"/>
  <c r="W23" i="4"/>
  <c r="AB32" i="4"/>
  <c r="AB35" i="4"/>
  <c r="AB36" i="4"/>
  <c r="AB37" i="4"/>
  <c r="AB38" i="4"/>
  <c r="AA31" i="4"/>
  <c r="Z31" i="4"/>
  <c r="AB31" i="4" s="1"/>
  <c r="AB5" i="4"/>
  <c r="AB6" i="4"/>
  <c r="AB7" i="4"/>
  <c r="AB8" i="4"/>
  <c r="AB10" i="4"/>
  <c r="AB11" i="4"/>
  <c r="AB12" i="4"/>
  <c r="AB13" i="4"/>
  <c r="AB14" i="4"/>
  <c r="AB15" i="4"/>
  <c r="AB16" i="4"/>
  <c r="AB17" i="4"/>
  <c r="AB19" i="4"/>
  <c r="AB20" i="4"/>
  <c r="AB21" i="4"/>
  <c r="AB22" i="4"/>
  <c r="AB24" i="4"/>
  <c r="AB25" i="4"/>
  <c r="AB26" i="4"/>
  <c r="AB27" i="4"/>
  <c r="AB28" i="4"/>
  <c r="W4" i="4"/>
  <c r="X4" i="4"/>
  <c r="Y4" i="4"/>
  <c r="Z4" i="4"/>
  <c r="AA4" i="4"/>
  <c r="V4" i="4"/>
  <c r="W3" i="4"/>
  <c r="Z3" i="4"/>
  <c r="AA3" i="4"/>
  <c r="V3" i="4"/>
  <c r="V29" i="4" s="1"/>
  <c r="N14" i="4"/>
  <c r="H14" i="4"/>
  <c r="J14" i="4"/>
  <c r="G2" i="1"/>
  <c r="X39" i="4"/>
  <c r="V39" i="4"/>
  <c r="G39" i="4"/>
  <c r="H39" i="4"/>
  <c r="I39" i="4"/>
  <c r="J39" i="4"/>
  <c r="K39" i="4"/>
  <c r="K41" i="4" s="1"/>
  <c r="L39" i="4"/>
  <c r="M39" i="4"/>
  <c r="M41" i="4" s="1"/>
  <c r="N39" i="4"/>
  <c r="O39" i="4"/>
  <c r="P39" i="4"/>
  <c r="Q39" i="4"/>
  <c r="F39" i="4"/>
  <c r="X29" i="4" l="1"/>
  <c r="Z39" i="4"/>
  <c r="AB9" i="4"/>
  <c r="P29" i="4"/>
  <c r="W29" i="4"/>
  <c r="Y29" i="4"/>
  <c r="N29" i="4"/>
  <c r="J29" i="4"/>
  <c r="G7" i="1" s="1"/>
  <c r="AB23" i="4"/>
  <c r="AB33" i="4"/>
  <c r="AB39" i="4" s="1"/>
  <c r="V41" i="4"/>
  <c r="X41" i="4"/>
  <c r="AB3" i="4"/>
  <c r="Y39" i="4"/>
  <c r="Y41" i="4" s="1"/>
  <c r="AB4" i="4"/>
  <c r="F41" i="4"/>
  <c r="L3" i="8"/>
  <c r="O41" i="4"/>
  <c r="AA39" i="4"/>
  <c r="W39" i="4"/>
  <c r="W41" i="4" s="1"/>
  <c r="Z41" i="4"/>
  <c r="G3" i="4"/>
  <c r="AB29" i="4" l="1"/>
  <c r="J41" i="4"/>
  <c r="AA41" i="4"/>
  <c r="AB41" i="4"/>
  <c r="G15" i="1"/>
  <c r="G10" i="1"/>
  <c r="N41" i="4" l="1"/>
  <c r="K12" i="6" l="1"/>
  <c r="K11" i="6"/>
  <c r="I9" i="6" l="1"/>
  <c r="S9" i="6" s="1"/>
  <c r="I10" i="6"/>
  <c r="S10" i="6" s="1"/>
  <c r="I8" i="6"/>
  <c r="I7" i="6"/>
  <c r="O4" i="6"/>
  <c r="K6" i="6"/>
  <c r="O5" i="6"/>
  <c r="P9" i="6"/>
  <c r="P10" i="6"/>
  <c r="P11" i="6"/>
  <c r="S11" i="6" s="1"/>
  <c r="P12" i="6"/>
  <c r="S12" i="6" s="1"/>
  <c r="P8" i="6"/>
  <c r="P7" i="6"/>
  <c r="K3" i="6"/>
  <c r="G4" i="6"/>
  <c r="G5" i="6"/>
  <c r="G6" i="6"/>
  <c r="G7" i="6"/>
  <c r="G3" i="6"/>
  <c r="M3" i="6"/>
  <c r="E3" i="6"/>
  <c r="P3" i="6"/>
  <c r="O3" i="6"/>
  <c r="I3" i="6"/>
  <c r="I5" i="6"/>
  <c r="I6" i="6"/>
  <c r="I4" i="6"/>
  <c r="S8" i="6" l="1"/>
  <c r="U13" i="6"/>
  <c r="H3" i="6"/>
  <c r="H4" i="6" s="1"/>
  <c r="H5" i="6" s="1"/>
  <c r="H6" i="6" s="1"/>
  <c r="H7" i="6" s="1"/>
  <c r="V12" i="6"/>
  <c r="F3" i="6"/>
  <c r="E4" i="6"/>
  <c r="V8" i="6"/>
  <c r="V9" i="6"/>
  <c r="V10" i="6"/>
  <c r="V11" i="6"/>
  <c r="V14" i="6"/>
  <c r="Q41" i="4"/>
  <c r="L20" i="4"/>
  <c r="I3" i="4"/>
  <c r="I29" i="4" s="1"/>
  <c r="H3" i="4"/>
  <c r="H29" i="4" s="1"/>
  <c r="G21" i="4"/>
  <c r="G4" i="4"/>
  <c r="E7" i="6" l="1"/>
  <c r="S7" i="6" s="1"/>
  <c r="S4" i="6"/>
  <c r="V4" i="6" s="1"/>
  <c r="S3" i="6"/>
  <c r="G29" i="4"/>
  <c r="G4" i="1" s="1"/>
  <c r="L29" i="4"/>
  <c r="G11" i="1" s="1"/>
  <c r="U11" i="6"/>
  <c r="U9" i="6"/>
  <c r="U12" i="6"/>
  <c r="U10" i="6"/>
  <c r="U8" i="6"/>
  <c r="U3" i="6"/>
  <c r="G41" i="4"/>
  <c r="U14" i="6"/>
  <c r="E5" i="6"/>
  <c r="V7" i="6"/>
  <c r="F17" i="6"/>
  <c r="K4" i="1" s="1"/>
  <c r="G17" i="6"/>
  <c r="K5" i="1" s="1"/>
  <c r="H17" i="6"/>
  <c r="K6" i="1" s="1"/>
  <c r="I17" i="6"/>
  <c r="K7" i="1" s="1"/>
  <c r="K17" i="6"/>
  <c r="K11" i="1" s="1"/>
  <c r="L17" i="6"/>
  <c r="M17" i="6"/>
  <c r="K15" i="1" s="1"/>
  <c r="N17" i="6"/>
  <c r="O17" i="6"/>
  <c r="K19" i="1" s="1"/>
  <c r="P17" i="6"/>
  <c r="K21" i="1" s="1"/>
  <c r="E6" i="6" l="1"/>
  <c r="S5" i="6"/>
  <c r="V3" i="6"/>
  <c r="E17" i="6"/>
  <c r="K2" i="1" s="1"/>
  <c r="K24" i="1" s="1"/>
  <c r="L41" i="4"/>
  <c r="V5" i="6"/>
  <c r="T29" i="4"/>
  <c r="T41" i="4" s="1"/>
  <c r="T9" i="6"/>
  <c r="T11" i="6"/>
  <c r="T13" i="6"/>
  <c r="T4" i="6"/>
  <c r="T8" i="6"/>
  <c r="T10" i="6"/>
  <c r="T12" i="6"/>
  <c r="T14" i="6"/>
  <c r="J18" i="6"/>
  <c r="K45" i="4" s="1"/>
  <c r="K47" i="4" s="1"/>
  <c r="G18" i="6"/>
  <c r="H45" i="4" s="1"/>
  <c r="I18" i="6"/>
  <c r="J45" i="4" s="1"/>
  <c r="J47" i="4" s="1"/>
  <c r="O18" i="6"/>
  <c r="P45" i="4" s="1"/>
  <c r="P18" i="6"/>
  <c r="Q45" i="4" s="1"/>
  <c r="H18" i="6"/>
  <c r="I45" i="4" s="1"/>
  <c r="K18" i="6"/>
  <c r="L45" i="4" s="1"/>
  <c r="L47" i="4" s="1"/>
  <c r="L18" i="6"/>
  <c r="M45" i="4" s="1"/>
  <c r="M47" i="4" s="1"/>
  <c r="M18" i="6"/>
  <c r="N45" i="4" s="1"/>
  <c r="N47" i="4" s="1"/>
  <c r="N18" i="6"/>
  <c r="O45" i="4" s="1"/>
  <c r="O47" i="4" s="1"/>
  <c r="F18" i="6"/>
  <c r="G45" i="4" s="1"/>
  <c r="E18" i="6"/>
  <c r="F45" i="4" s="1"/>
  <c r="H41" i="4"/>
  <c r="G5" i="1"/>
  <c r="P41" i="4"/>
  <c r="N42" i="4" s="1"/>
  <c r="G19" i="1"/>
  <c r="I41" i="4"/>
  <c r="G6" i="1"/>
  <c r="U7" i="6"/>
  <c r="U4" i="6"/>
  <c r="U5" i="6"/>
  <c r="T3" i="6"/>
  <c r="T5" i="6"/>
  <c r="T7" i="6"/>
  <c r="S6" i="6" l="1"/>
  <c r="T47" i="4"/>
  <c r="H42" i="4"/>
  <c r="G24" i="1"/>
  <c r="O42" i="4"/>
  <c r="I42" i="4"/>
  <c r="H47" i="4"/>
  <c r="I47" i="4"/>
  <c r="F47" i="4"/>
  <c r="G47" i="4"/>
  <c r="P47" i="4"/>
  <c r="Q47" i="4"/>
  <c r="T18" i="6"/>
  <c r="T6" i="6" l="1"/>
  <c r="U6" i="6"/>
  <c r="U17" i="6" s="1"/>
  <c r="V6" i="6"/>
</calcChain>
</file>

<file path=xl/comments1.xml><?xml version="1.0" encoding="utf-8"?>
<comments xmlns="http://schemas.openxmlformats.org/spreadsheetml/2006/main">
  <authors>
    <author>ΑΝΔΡΟΝΙΚΙΔΗ ΔΕΣΠΟΙΝΑ</author>
  </authors>
  <commentList>
    <comment ref="H8" authorId="0" shapeId="0">
      <text>
        <r>
          <rPr>
            <b/>
            <sz val="6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</t>
        </r>
        <r>
          <rPr>
            <sz val="6"/>
            <color indexed="81"/>
            <rFont val="Tahoma"/>
            <family val="2"/>
            <charset val="161"/>
          </rPr>
          <t>ΧΩΡΙΣ ΣΥΝΔΕΣΗ ΜΕ ΑΠΛΟΠΟΙΗΜΕΝΟ ΚΟΣΤΟΣ</t>
        </r>
      </text>
    </comment>
  </commentList>
</comments>
</file>

<file path=xl/comments2.xml><?xml version="1.0" encoding="utf-8"?>
<comments xmlns="http://schemas.openxmlformats.org/spreadsheetml/2006/main">
  <authors>
    <author>ΑΝΔΡΟΝΙΚΙΔΗ ΔΕΣΠΟΙΝΑ</author>
    <author>gr</author>
  </authors>
  <commentList>
    <comment ref="P18" authorId="0" shapeId="0">
      <text>
        <r>
          <rPr>
            <b/>
            <sz val="9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Προς άμεση προκήρυξη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Προκήρυξη το 2020, μετά από την αλοκλήρωση της Μελέτης με ΑΑ 23 της Αυτεπιστασίας, που εκτιμάται να τελείωσει στο τέλος του 2019
 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Ειδική τεκμηρίωσης περί μη κατάτμησης: 
Οι προμήθειες για τις δύο δράσεις ΠΕ 4.8. και ΠΕ 4.10 απαιτείται να γίνουν διαφορετικά έτη</t>
        </r>
      </text>
    </comment>
    <comment ref="J23" authorId="0" shapeId="0">
      <text>
        <r>
          <rPr>
            <b/>
            <sz val="9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ιδική τεκμηρίωση περί μη κατάτμηση με δαπάνη Υποέργου 2
1. Αφορά είδη χλωρίδας που δεν παρακολουθούνται από αντίστοιχη πράξη του ΥΠΕΝ.
2. Σχεδιάζεται να προκηρυχθεί αρχές 2019.
</t>
        </r>
      </text>
    </comment>
    <comment ref="I26" authorId="1" shapeId="0">
      <text>
        <r>
          <rPr>
            <b/>
            <sz val="9"/>
            <color indexed="81"/>
            <rFont val="Tahoma"/>
            <family val="2"/>
            <charset val="161"/>
          </rPr>
          <t>gr:</t>
        </r>
        <r>
          <rPr>
            <sz val="9"/>
            <color indexed="81"/>
            <rFont val="Tahoma"/>
            <family val="2"/>
            <charset val="161"/>
          </rPr>
          <t xml:space="preserve">
ΠΑΡΑΜΕΤΡΟΠΟΙΗΣΗ ΛΟΓΙΣΜΙΚΟΥ</t>
        </r>
      </text>
    </comment>
    <comment ref="J31" authorId="0" shapeId="0">
      <text>
        <r>
          <rPr>
            <b/>
            <sz val="9"/>
            <color indexed="81"/>
            <rFont val="Tahoma"/>
            <family val="2"/>
            <charset val="161"/>
          </rPr>
          <t>ΑΝΔΡΟΝΙΚΙΔΗ ΔΕΣΠΟΙΝΑ:</t>
        </r>
        <r>
          <rPr>
            <sz val="9"/>
            <color indexed="81"/>
            <rFont val="Tahoma"/>
            <family val="2"/>
            <charset val="161"/>
          </rPr>
          <t xml:space="preserve">
Ειδική τεκμηρίωση περί μη κατάτμηση με δαπάνη με ΑΑ 21 Αυτεπιστασάις:
Θα προκηρυχθεί μετά τα πρώτα αποτελέσματα των Διαχειριστικών Σχεδίων της Πράξης του ΥΠΕΝ.</t>
        </r>
      </text>
    </comment>
  </commentList>
</comments>
</file>

<file path=xl/sharedStrings.xml><?xml version="1.0" encoding="utf-8"?>
<sst xmlns="http://schemas.openxmlformats.org/spreadsheetml/2006/main" count="580" uniqueCount="346">
  <si>
    <t>ΔΡΑΣΗ</t>
  </si>
  <si>
    <t>ΑΥΤΕΠΙΣΤΑΣΙΑ</t>
  </si>
  <si>
    <t>ΠΡΟΜΗΘΕΙΕΣ</t>
  </si>
  <si>
    <t>ΥΠΗΡΕΣΙΕΣ</t>
  </si>
  <si>
    <t xml:space="preserve">ΜΕΛΕΤΕΣ </t>
  </si>
  <si>
    <t>ΕΡΓΟΛΑΒΙΕΣ</t>
  </si>
  <si>
    <t>ΝΑΙ</t>
  </si>
  <si>
    <t>ΌΧΙ</t>
  </si>
  <si>
    <t>ΤΙΤΛΟΣ</t>
  </si>
  <si>
    <t>ΔΙΟΡΓΑΝΩΣΗ ΕΚΔΗΛΩΣΕΩΝ</t>
  </si>
  <si>
    <t>ΣΥΜΜΕΤΟΧΗ ΣΕ ΕΚΘΕΣΕΙΣ</t>
  </si>
  <si>
    <t>ΔΙΚΤΥΩΣΗ ΕΣΩΤΕΡΙΚΟΥ</t>
  </si>
  <si>
    <t>ΔΙΚΤΥΩΣΗ ΕΞΩΤΕΡΙΚΟΥ</t>
  </si>
  <si>
    <t>ΜΕΛΕΤΕΣ ΣΧΕΤΙΚΕΣ ΜΕ ΑΡΜΟΔΙΟΤΗΤΑ ΦΔΠΠ</t>
  </si>
  <si>
    <t>ΜΕΛΕΤΕΣ ΣΧΕΤΙΚΕΣ ΜΕ ΑΝΘΡΩΠΟΓΕΝΕΙΣ ΔΡΑΣΤΗΡΙΟΤΗΤΕΣ</t>
  </si>
  <si>
    <t>ΔΗΜΙΟΥΡΓΙΑ ΠΡΩΤΟΚΟΛΛΩΝ</t>
  </si>
  <si>
    <t>ΔΑΚΤΥΛΙΩΣΗ ΠΟΥΛΙΩΝ / ΣΗΜΑΝΣΗ ΕΙΔΩΝ</t>
  </si>
  <si>
    <t>ΠΕΡΙΦΡΑΞΗ / ΠΕΡΙΟΡΙΣΜΟΣ ΠΡΟΣΒΑΣΗΣ</t>
  </si>
  <si>
    <t>ΦΩΛΙΕΣ / ΤΑΪΣΤΡΕΣ</t>
  </si>
  <si>
    <t>ΕΠΑΝΕΓΚΑΤΑΣΤΑΣΗ / ΑΠΟΜΑΚΡΥΝΣΗ ΕΙΔΟΥΣ</t>
  </si>
  <si>
    <t>ΡΥΘΜΙΣΗ ΠΕΡΙΒΑΛΛΟΝΤΙΚΩΝ ΣΥΝΘΗΚΩΝ ΣΕ ΟΙΚΟΤΟΠΟΥΣ</t>
  </si>
  <si>
    <t>ΠΡΟΣΤΑΣΙΑ ΑΝΘΡΩΠΟΓΕΝΟΥΣ ΔΡΑΣΤΗΡΙΟΤΗΤΑΣ / ΚΟΙΝΟΤΗΤΩΝ</t>
  </si>
  <si>
    <t>ΚΑΥΣΙΜΑ</t>
  </si>
  <si>
    <t>ΥΠΗΡΕΣΙΕΣ ΟΡΓΑΝΩΣΗΣ ΕΚΔΗΛΩΣΕΩΝ</t>
  </si>
  <si>
    <t>ΠΡΟΜΗΘΕΙΑ ΟΧΗΜΑΤΟΣ/ ΣΚΑΦΟΥΣ</t>
  </si>
  <si>
    <t>ΠΡΟΜΗΘΕΙΑ ΕΠΙΣΤΗΜΟΝΙΚΟΥ ΕΞΟΠΛΙΣΜΟΥ</t>
  </si>
  <si>
    <t>ΠΡΟΜΗΘΕΙΑ ΙΜΑΤΙΣΜΟΥ</t>
  </si>
  <si>
    <t>ΕΞΟΠΛΙΣΜΟΣ ΓΡΑΦΕΙΟΥ</t>
  </si>
  <si>
    <t>ΕΞΟΠΛΙΣΜΟΣ Η/Υ-ΛΟΓΙΣΜΙΚΟΥ</t>
  </si>
  <si>
    <t>ΕΞΟΔΑ ΕΘΕΛΟΝΤΩΝ</t>
  </si>
  <si>
    <t>ΠΕΡΙΓΡΑΦΗ</t>
  </si>
  <si>
    <t>ΣΥΝΔΡΟΜΕΣ</t>
  </si>
  <si>
    <t>ΕΙΔΙΚΟΤΗΤΑ</t>
  </si>
  <si>
    <t>ΦΥΛΑΚΑΣ</t>
  </si>
  <si>
    <t>ΘΕΣΗ ΕΡΓΑΣΙΑΣ</t>
  </si>
  <si>
    <t>ΕΠΙΣΤΗΜΟΝΙΚΟ ΠΡΟΣΩΠΙΚΟ</t>
  </si>
  <si>
    <t>ΕΝΗΜΕΡΩΣΗ</t>
  </si>
  <si>
    <t>ΣΥΝΟΛΑ</t>
  </si>
  <si>
    <t>ΔΙΟΙΚΗΤΙΚΟ ΠΡΟΣΩΠΙΚΟ</t>
  </si>
  <si>
    <t>ΥΠ 2</t>
  </si>
  <si>
    <t>ΥΠ 3</t>
  </si>
  <si>
    <t>ΕΙΔΙΚΕΣ ΥΠΗΡΕΣΙΕΣ ΠΑΡΑΚΟΛΟΥΘΗΣΗΣ ΑΡΚΟΥΔΑΣ</t>
  </si>
  <si>
    <t>ΠΡΟΜΗΘΕΙΑ ΟΧΗΜΑΤΩΝ</t>
  </si>
  <si>
    <t>ΥΠ 4</t>
  </si>
  <si>
    <t>ΥΠ 5</t>
  </si>
  <si>
    <t xml:space="preserve">ΥΠ 7 </t>
  </si>
  <si>
    <t>ΥΠ 8</t>
  </si>
  <si>
    <t>ΥΠ 9</t>
  </si>
  <si>
    <t>Α.1.2.</t>
  </si>
  <si>
    <t>Α.1.3.</t>
  </si>
  <si>
    <t>Α.1.10.</t>
  </si>
  <si>
    <t>Α.1.11.</t>
  </si>
  <si>
    <t>Α.1.8.</t>
  </si>
  <si>
    <t>ΚΟΣΤΟΣ 2018</t>
  </si>
  <si>
    <t>ΚΟΣΤΟΣ 2019</t>
  </si>
  <si>
    <t>ΚΟΣΤΟΣ 2020</t>
  </si>
  <si>
    <t>ΚΟΣΤΟΣ 2021</t>
  </si>
  <si>
    <t>ΚΟΣΤΟΣ 2022</t>
  </si>
  <si>
    <t>ΚΟΣΤΟΣ 2023</t>
  </si>
  <si>
    <t>Π.3.5</t>
  </si>
  <si>
    <t>ΣΥΝΕΡΓΕΙΑ ΣΥΝΑΡΜΟΔΙΩΝ ΥΠΗΡΕΣΙΩΝ</t>
  </si>
  <si>
    <t>ΣΎΝΟΛΟ ΚΟΣΤΟΥΣ ΓΙΑ ΤΗΝ ΠΡΑΞΗ</t>
  </si>
  <si>
    <t>Α/Α</t>
  </si>
  <si>
    <t>ΠΕ 2.1 Δικτύωση Εξωτερικού</t>
  </si>
  <si>
    <t>ΠΕ 2.2 Δικτύωση Εσωτερικού</t>
  </si>
  <si>
    <t>ΠΕ 3.1 Παρακολούθηση Ειδών (εκτός Εποπτείας)</t>
  </si>
  <si>
    <t>ΠΕ 3.3 Μελέτες Σχετικές με αρμοδιότητα ΦΔΠΠ</t>
  </si>
  <si>
    <t>ΠΕ 3.4 Μελέτες σχετικές με ανθρωπογενείς δραστηριότητες</t>
  </si>
  <si>
    <t>ΠΕ 4.1 Διάνοιξη Διαύλου για Υγροβιότοπο</t>
  </si>
  <si>
    <t>ΠΕ 4.3  Φωλιές / Ταΐστρες</t>
  </si>
  <si>
    <t>ΠΕ 4.8 Απομάκρυνση / Επανεγκατάσταση Είδους</t>
  </si>
  <si>
    <t>ΠΕ 4.10 Προστασία Ανθρωπογενούς Δραστηριότητας</t>
  </si>
  <si>
    <t>ΤΕΜ</t>
  </si>
  <si>
    <t>ΕΙΔΟΣ ΥΠΟΕΡΓΟΥ</t>
  </si>
  <si>
    <t>ΠΕΡΙΓΡΑΦΗ ΕΙΔΏΝ ΠΡΟΣ ΠΡΟΜΗΘΕΙΑ</t>
  </si>
  <si>
    <t>ΣΧΕΤΙΚΟ/Α ΠΑΚΕΤΟ/Α ΕΡΓΑΣΙΑΣ</t>
  </si>
  <si>
    <t>ΛΗΞΗ ΣΥΜΒΑΣΗΣ</t>
  </si>
  <si>
    <t>ΗΜΕΡ/ΝΙΑ ΔΙΕΝΕΡΓΕΙΑΣ ΔΙΑΓΩΝΙΣΜΟΥ</t>
  </si>
  <si>
    <t>ΗΜΕΡ/ΝΙΑ ΣΥΜΒΑΣΗΣ</t>
  </si>
  <si>
    <t>ΔΙΑΡΚΕΙΑ ΣΥΜΒΑΣΗΣ (σε μήνες)</t>
  </si>
  <si>
    <t>ΗΛΕΚΤΡΟΝΙΚΟ ΜΙΚΡΟΣΚΟΠΙΟ</t>
  </si>
  <si>
    <t>CPV (*)</t>
  </si>
  <si>
    <t>ΕΜΠΟΡΙΚΟΣ ΤΥΠΟΣ (**)</t>
  </si>
  <si>
    <r>
      <t xml:space="preserve">Πεδία με (**) </t>
    </r>
    <r>
      <rPr>
        <u/>
        <sz val="11"/>
        <color theme="1"/>
        <rFont val="Calibri"/>
        <family val="2"/>
        <charset val="161"/>
        <scheme val="minor"/>
      </rPr>
      <t>δεν</t>
    </r>
    <r>
      <rPr>
        <sz val="11"/>
        <color theme="1"/>
        <rFont val="Calibri"/>
        <family val="2"/>
        <charset val="161"/>
        <scheme val="minor"/>
      </rPr>
      <t xml:space="preserve"> συμπληρώνονται κατά την ένταξη. Συμπληρώνονται απολογιστικά, κατά την ολοκλήρωση της πράξης.</t>
    </r>
  </si>
  <si>
    <t>Πεδία με ημερομηνίες και χρονική διάρκεια συμπληρώνονται κατ' εκτίμηση κατά την ένταξη της πράξης και απολογιστικά κατά την ολοκλήρωσή της.</t>
  </si>
  <si>
    <t>Αριθμ. Τεμαχίων</t>
  </si>
  <si>
    <t>Σημερινή κατάσταση</t>
  </si>
  <si>
    <t>Πηγή Χρηματοδότησης</t>
  </si>
  <si>
    <t>Έτος απόκτησης</t>
  </si>
  <si>
    <t>Θα χρησιμοποιηθεί στην πράξη (ΝΑΙ / ΌΧΙ)</t>
  </si>
  <si>
    <t>Κατηγορία Εξοπλισμού</t>
  </si>
  <si>
    <t>ΕΠΠΕΡ</t>
  </si>
  <si>
    <t>ΕΠΠΕΡΑΑ</t>
  </si>
  <si>
    <t>ΠΕΠ 2007-2013</t>
  </si>
  <si>
    <t>ΠΕΠ 2014-2020</t>
  </si>
  <si>
    <t>ΤΙΜΕΣ ΛΙΣΤΩΝ</t>
  </si>
  <si>
    <t>ΆΛΛΟ ΕΕ</t>
  </si>
  <si>
    <t>ΆΛΛΟ</t>
  </si>
  <si>
    <t>ΠΡΑΣΙΝΟ ΤΑΜΕΙΟ/ΕΘΝΙΚΟΙ ΠΟΡΟΙ</t>
  </si>
  <si>
    <t>Επιστημονικός</t>
  </si>
  <si>
    <t>Η/Υ και Μηχανογράφησης</t>
  </si>
  <si>
    <t>Ενημέρωσης / Ευαισθητοποίησης</t>
  </si>
  <si>
    <t>Γραφεία / Έπιπλα</t>
  </si>
  <si>
    <t>Εξοπλ. Ένδυσης / Ιματισμός</t>
  </si>
  <si>
    <t>Άλλο</t>
  </si>
  <si>
    <t>ΠΑΡΑΤΗΡΉΣΕΙΣ</t>
  </si>
  <si>
    <t>Λειτουργικός</t>
  </si>
  <si>
    <t>Μη Λειτουργικός</t>
  </si>
  <si>
    <t>Είδος</t>
  </si>
  <si>
    <t>ΚΩΔΙΚΟΣ ΥΠΟΕΡΓΟΥ/ΩΝ</t>
  </si>
  <si>
    <t>Φορητό pH-μετρο</t>
  </si>
  <si>
    <t>ΚΑΤΗΓΟΡΙΑ ΠΡΟΜΗΘΕΙΑΣ</t>
  </si>
  <si>
    <t>ΕΝΗΜΕΡΩΣΗ/ ΕΥΑΙΣΘΗΤΟΠΟΙΗΣΗ</t>
  </si>
  <si>
    <t>ΔΙΚΤΥΩΣΗ / ΤΕΧΝΟΓΝΩΣΙΑ ΦΔΠΠ</t>
  </si>
  <si>
    <t>ΠΑΡΑΚΟΛΟΥΘΗΣΗ / ΜΕΛΕΤΕΣ</t>
  </si>
  <si>
    <t>ΜΟΝΑΔΑ ΜΕΤΡΗΣΗΣ</t>
  </si>
  <si>
    <t>ΔΙΑΔΙΚΑΣΙΑ ΑΝΑΘΕΣΗΣ / ΘΕΣΜΙΚΟ ΠΛΑΙΣΙΟ</t>
  </si>
  <si>
    <t>ΕΝΑΡΞΗ ΥΠΟΕΡΓΟΥ</t>
  </si>
  <si>
    <t>ΛΗΞΗ ΥΠΟΕΡΓΟΥ</t>
  </si>
  <si>
    <t>ΔΙΑΡΚΕΙΑ (ΜΗΝΕΣ)</t>
  </si>
  <si>
    <t>ΚΩΔ. ΑΥΤΕΠ. ή ΥΠΟΕΡΓΟΥ</t>
  </si>
  <si>
    <t>ΚΑΤΗΓΟΡΙΑ ΕΠΙΛΕΞΙΜΩΝ ΔΑΠΑΝΩΝ</t>
  </si>
  <si>
    <t>Δαπάνες Ταξιδιών</t>
  </si>
  <si>
    <t>Δαπάνες δημοσιότητας</t>
  </si>
  <si>
    <t xml:space="preserve">Άλλες άμεσες δαπάνες που δεν παράγουν απλοποιημένο κόστος </t>
  </si>
  <si>
    <t xml:space="preserve">Προμήθειες </t>
  </si>
  <si>
    <t xml:space="preserve">Υπηρεσίες </t>
  </si>
  <si>
    <t>ΔΕ Ειδικός δασικής προστασίας</t>
  </si>
  <si>
    <t>ΤΕ Ξεναγός</t>
  </si>
  <si>
    <t>ΔΕ Ξεναγός</t>
  </si>
  <si>
    <t>Γραμματέας</t>
  </si>
  <si>
    <t>ΠΕ Δασολόγος - Συντονιστής έργου</t>
  </si>
  <si>
    <t>ΠΕ Βιολόγος</t>
  </si>
  <si>
    <t>ΠΕ Περιβαλλοντολόγος</t>
  </si>
  <si>
    <t>ΠΕ Δασολόγος</t>
  </si>
  <si>
    <t>ΠΕ Μηχανικός περιβάλλοντος</t>
  </si>
  <si>
    <t>ΠΕ Οικονομολόγος</t>
  </si>
  <si>
    <t>ΜΙΚΤΟ ΩΡΙΑΙΟ ΚΟΣΤΟΣ</t>
  </si>
  <si>
    <t>ΕΝΗΜΕΡΩΣΗ ΚΟΙΝΩΝΙΚΩΝ ΦΟΡΕΩΝ</t>
  </si>
  <si>
    <t>ΜΕΛΕΤΗ ΠΕΡΙΟΡΙΣΜΟΥ ΠΡΟΣΒΑΣΗΣ ΕΙΔΩΝ ΣΕ ΟΙΚΟΤΟΠΟΥΣ</t>
  </si>
  <si>
    <t>ΜΕΛΕΤΗ ΔΙΑΝΟΙΞΗΣ ΔΙΑΥΛΟΥ ΣΕ ΛΙΜΝΟΘΑΛΑΣΣΑ</t>
  </si>
  <si>
    <t>ΔΙΑΝΟΙΞΗ ΔΙΑΥΛΟΥ</t>
  </si>
  <si>
    <t>ΑΓΟΡΑ ΦΩΛΙΩΝ</t>
  </si>
  <si>
    <t>ΥΠ 6</t>
  </si>
  <si>
    <t xml:space="preserve">ΠΡΟΜΗΘΕΙΑ ΕΠΙΣΤΗΜΟΝΙΚΟΥ ΕΞΟΠΛΙΣΜΟΥ ΠΑΡΑΚΟΛΟΥΘΗΣΗΣ </t>
  </si>
  <si>
    <t>ΥΠ6</t>
  </si>
  <si>
    <t>ΥΠ2</t>
  </si>
  <si>
    <t>ΥΠ7</t>
  </si>
  <si>
    <t>ΥΠ3</t>
  </si>
  <si>
    <t>ΥΠ4</t>
  </si>
  <si>
    <t>ΥΠ5</t>
  </si>
  <si>
    <t>ΥΠ8</t>
  </si>
  <si>
    <t>ΚΑΘΑΡΟ ΠΟΣΟ</t>
  </si>
  <si>
    <t>ΦΠΑ</t>
  </si>
  <si>
    <t>Α.1.2</t>
  </si>
  <si>
    <t>…</t>
  </si>
  <si>
    <t>ΔΙΑΝΟΙΞΗ ΔΙΑΥΛΟΥ  ΣΕ ΥΓΡΟΒΙΟΤΟΠΟ</t>
  </si>
  <si>
    <t>ΔΡΑΣΕΙΣ-ΕΠΕΜΒΑΣΕΙΣ ΣΤΗ ΦΥΣΗ</t>
  </si>
  <si>
    <t>A ' εξ. 2018</t>
  </si>
  <si>
    <t>Β' εξ. 2018</t>
  </si>
  <si>
    <t>A ' εξ. 2019</t>
  </si>
  <si>
    <t>Β' εξ. 2019</t>
  </si>
  <si>
    <t>A ' εξ. 2020</t>
  </si>
  <si>
    <t>Β' εξ. 2020</t>
  </si>
  <si>
    <t>A ' εξ. 2021</t>
  </si>
  <si>
    <t>Β' εξ. 2021</t>
  </si>
  <si>
    <t>A ' εξ. 2022</t>
  </si>
  <si>
    <t>Β' εξ. 2022</t>
  </si>
  <si>
    <t>A ' εξ. 2023</t>
  </si>
  <si>
    <t>Β' εξ. 2023</t>
  </si>
  <si>
    <t>ΤΙΤΛΟΣ ΠΑΚΕΤΟΥ ΕΡΓΑΣΙΑΣ</t>
  </si>
  <si>
    <t>ΔΡΑΣΗ (ΚΩΔ)</t>
  </si>
  <si>
    <t>ΜΕΛΕΤΕΣ-ΥΠΗΡΕΣΙΕΣ ΣΧΕΤΙΚΕΣ ΜΕ ΑΝΘΡΩΠΟΓΕΝΕΙΣ ΔΡΑΣΤΗΡΙΟΤΗΤΕΣ</t>
  </si>
  <si>
    <t>ΔΡΑΣΕΙΣ ΕΠΕΜΒΑΣΗΣ ΣΤΗ ΦΥΣΗ</t>
  </si>
  <si>
    <t>ΑΠΑΙΤΗΣΕΙΣ Π/Υ</t>
  </si>
  <si>
    <t>ΜΙΝ 50%</t>
  </si>
  <si>
    <t>ΕΙΔΗ ΥΠΟΕΡΓΩΝ (ΓΙΑ ΥΛΟΠΟΙΗΣΗ ΤΩΝ ΠΑΚΕΤΩΝ ΕΡΓΑΣΙΑΣ)</t>
  </si>
  <si>
    <t>ΚΩΔ. ΥΠΟΕΡΓΟΥ</t>
  </si>
  <si>
    <t>ΑΥΤΕΠΙΣΤΑΣΙΑ (ΑΠΟΦΑΣΗ ΥΛΟΠΟΙΗΣΗΣ ΜΕ ΙΔΙΑ ΜΕΣΑ - ΑΥΙΜ)</t>
  </si>
  <si>
    <t>ΚΑΘΑΡΙΣΜΟΣ / ΑΠΟΜΑΚΡΥΝΣΗ ΜΠΑΖΩΝ / ΑΠΟΡΡΎΠΑΝΣΗ</t>
  </si>
  <si>
    <t>ΠΑΚΕΤΟ ΕΡΓΑΣΙΑΣ (ΚΩΔ)</t>
  </si>
  <si>
    <t>ΥΠ1</t>
  </si>
  <si>
    <t>ΠΕ 1.1 Ενημέρωση Φορέων</t>
  </si>
  <si>
    <t>ΜΕΤΑΚΙΝΗΣΕΙΣ</t>
  </si>
  <si>
    <t>ΕΞΟΔΑ ΕΘΕΛΟΝΤΩΝ (ενοίκια διαμονής, έξοδα διατροφής)</t>
  </si>
  <si>
    <t>ΠΡΟΣΤΑΣΙΑ ΑΝΘΡΩΠΟΓΕΝΟΥΣ ΔΡΑΣΤΗΡΙΟΤΗΤΑΣ / ΚΟΙΝΟΤΗΤΑΣ</t>
  </si>
  <si>
    <t>ΚΑΤΗΓΟΡΙΕΣ ΔΑΠΑΝΩΝ ΤΔΥ/ΟΠΣ</t>
  </si>
  <si>
    <t>ΚΩΔ. ΤΔΥ / ΟΠΣ</t>
  </si>
  <si>
    <t>ΕΙΔΗ ΥΠΟΕΡΓΩΝ</t>
  </si>
  <si>
    <t xml:space="preserve">ΑΥΤΕΠΙΣΤΑΣΙΑ </t>
  </si>
  <si>
    <t xml:space="preserve">ΠΡΟΜΗΘΕΙΕΣ </t>
  </si>
  <si>
    <t xml:space="preserve">ΥΠΗΡΕΣΙΕΣ </t>
  </si>
  <si>
    <t xml:space="preserve">ΤΕΧΝΙΚΕΣ ΜΕΛΕΤΕΣ    </t>
  </si>
  <si>
    <t>ΕΡΓΟ</t>
  </si>
  <si>
    <t>ΤΙΜΕΣ</t>
  </si>
  <si>
    <t>ΔΙΑΝΟΙΞΗ ΔΙΑΥΛΟΥ / ΦΡΑΓΜΑ ΣΕ ΥΓΡΟΒΙΟΤΟΠΟ</t>
  </si>
  <si>
    <t>Π.Ε.</t>
  </si>
  <si>
    <t>ΤΙΤΛΟΣ Π.Ε.</t>
  </si>
  <si>
    <t>ΕΚΤΟΣ ΕΔΡΑΣ ΑΜΟΙΒΕΣ</t>
  </si>
  <si>
    <t>ΣΥΝΔΡΟΜΕΣ (συμμετοχή σε δίκτυα, περιοδικά, έξοδα αξιολογήσεων δικτύων, κα)</t>
  </si>
  <si>
    <t>ΜΑΧ 15%</t>
  </si>
  <si>
    <t>ΔΗΜΙΟΥΡΓΙΑ ΒΑΣΕΩΝ ΔΕΔΟΜΕΝΩΝ</t>
  </si>
  <si>
    <t>ΠΡΟΒΟΛΗ ΔΡΑΣΕΩΝ ΠΡΑΞΗΣ ΕΠ ΥΜΕΠΕΡΑΑ</t>
  </si>
  <si>
    <t>ΕΝΗΜΕΡΩΣΗ ΚΟΙΝΩΝΙΚΩΝ ΦΟΡΕΩΝ / ΚΟΙΝΟΥ</t>
  </si>
  <si>
    <t>ΚΥΡΙΟ ΥΠΟΕΡΓΟ</t>
  </si>
  <si>
    <t>ΥΠΗΡΕΣΙΕΣ ΠΑΡΑΚΟΛΟΥΘΗΣΗΣ ΕΙΔΩΝ</t>
  </si>
  <si>
    <t>ΥΠΗΡΕΣΙΕΣ ΠΑΡΑΚΟΛΟΥΘΗΣΗΣ ΟΙΚΟΤΟΠΩΝ</t>
  </si>
  <si>
    <t>ΜΕΛΕΤΕΣ (ΜΗ ΤΕΧΝΙΚΕΣ) ΣΧΕΤΙΚΕΣ ΜΕ ΤΟ ΑΝΘΡΩΠΟΓΕΝΕΣ ΠΕΡΙΒΑΛΛΟΝ</t>
  </si>
  <si>
    <t xml:space="preserve">ΥΠΗΡΕΣΙΕΣ ΣΧΕΤΙΚΕΣ ΜΕ Η/Υ - ΛΟΓΙΣΜΙΚΟ - ΒΑΣΕΙΣ ΔΕΔΟΜΕΝΩΝ </t>
  </si>
  <si>
    <t>ΥΠΗΡΕΣΙΕΣ ΔΗΜΙΟΥΡΓΙΑΣ ΤΗΛΕΟΠΤΙΚΩΝ/ΡΑΔΙΟΦΩΝΙΚΩΝ ΣΠΟΤ</t>
  </si>
  <si>
    <t>ΠΡΟΜΗΘΕΙΕΣ (πϋ &gt;60.000€)</t>
  </si>
  <si>
    <t>ΥΠΗΡΕΣΙΕΣ (πϋ &gt; 60.000€)</t>
  </si>
  <si>
    <t>ΕΞΟΔΑ ΔΗΜΟΣΙΕΥΣΕΩΝ</t>
  </si>
  <si>
    <t>ΛΟΙΠΕΣ ΠΡΟΜΗΘΕΙΕΣ (εγκεκριμένες από την ΕΥΔ)</t>
  </si>
  <si>
    <t>ΜΕΛΕΤΕΣ (ΜΗ ΤΕΧΝΙΚΕΣ) ΓΙΑ ΑΝΘΡΩΠΟΓΕΝΕΣ ΠΕΡΙΒΑΛΛΟΝ</t>
  </si>
  <si>
    <t>ΥΠΗΡΕΣΙΕΣ ΣΧΕΤΙΚΕΣ ΜΕ Η/Υ - ΛΟΓΙΣΜΙΚΟ - ΒΑΣΕΙΣ ΔΕΔΟΜΕΝΩΝ</t>
  </si>
  <si>
    <t>ΕΞΟΔΑ ΤΡΑΠΕΖΗΣ</t>
  </si>
  <si>
    <t>ΛΟΙΠΕΣ ΔΑΠΑΝΕΣ (Εγκεκριμένες από ΕΥΔ)</t>
  </si>
  <si>
    <t>ΤΑΞΙΔΙΑ</t>
  </si>
  <si>
    <t>ΆΛΛΕΣ ΑΜΕΣΕΣ ΔΑΠΑΝΕΣ</t>
  </si>
  <si>
    <t>ΚΩΔ ΤΔΥ</t>
  </si>
  <si>
    <t>ΚΩΔ. ΑΥΤΕΠΙΣΤΑΣΙΑΣ</t>
  </si>
  <si>
    <t>ΔΙΚΤΥΩΣΗ / ΤΕΧΝΟΓΝΩΣΙΑ ΦΔΠΠ / ΕΠΙΣΤΗΜΟΝΙΚΗ ΤΕΚΜΗΡΙΩΣΗ</t>
  </si>
  <si>
    <t>ΤΙΤΛΟΣ ΚΑΤΗΓΟΡΙΑΣ ΔΑΠΑΝΗΣ ΤΔΥ</t>
  </si>
  <si>
    <t>ΜΕΙΩΣΗ ΚΙΝΔΥΝΟΥ ΠΥΡΚΑΓΙΩΝ (Π.Χ. ΑΛΕΞΙΚΕΡΑΥΝΑ / ΔΙΑΚΕΝΑ)</t>
  </si>
  <si>
    <t>ΒΙΒΛΙΟΓΡΑΦΙΑ, ΧΑΡΤΕΣ, ΚΛΠ</t>
  </si>
  <si>
    <t>ΥΠΗΡΕΣΙΕΣ / ΠΡΟΜΗΘΕΙΕΣ ΕΚΔΟΣΗΣ  ΥΛΙΚΟΥ ΕΝΗΜΕΡΩΣΗΣ / ΠΙΝΑΚΙΔΩΝ / ΣΗΜΑΝΣΗΣ</t>
  </si>
  <si>
    <t>ΤΙΤΛΟΣ ΔΡΑΣΗΣ (ΕΝΔΕΙΚΤΙΚΑ ΠΑΡΑΔΕΙΓΜΑΤΑ)</t>
  </si>
  <si>
    <t>ΠΕ 2.1 Δικτύωση Εξωτερικού (π/υ €)</t>
  </si>
  <si>
    <t>ΠΕ 2.2 Δικτύωση Εσωτερικού  (π/υ €)</t>
  </si>
  <si>
    <t>ΠΕ 3.3 Μελέτες Σχετικές με αρμοδιότητα ΦΔΠΠ  (π/υ €)</t>
  </si>
  <si>
    <t>ΠΕ 3.4 Μελέτες σχετικές με ανθρωπογενείς δραστηριότητες  (π/υ €)</t>
  </si>
  <si>
    <t>ΠΕ 4.1 Διάνοιξη Διαύλου για Υγροβιότοπο  (π/υ €)</t>
  </si>
  <si>
    <t>ΠΕ 4.3  Φωλιές / Ταΐστρες  (π/υ €)</t>
  </si>
  <si>
    <t>ΠΕ 4.8 Απομάκρυνση / Επανεγκατάσταση Είδους (π/υ €)</t>
  </si>
  <si>
    <t>ΠΕ 4.10 Προστασία Ανθρωπογενούς Δραστηριότητας (π/υ €)</t>
  </si>
  <si>
    <t>ΚΟΣΤΟΣ ΠΡΑΞΗΣ</t>
  </si>
  <si>
    <t>ΑΜΟΙΒΕΣ ΠΡΟΣΩΠΙΚΟΥ (ΓΙΑ ΕΝΑΣΧΟΛΗΣΗ ΜΕ ΤΗΝ ΠΡΑΞΗ ΤΟΥ ΕΠ ΥΜΕΠΕΡΑΑ)</t>
  </si>
  <si>
    <t xml:space="preserve">Μη ενισχυόμενος π/υ </t>
  </si>
  <si>
    <t>ΛΟΙΠΕΣ ΥΠΗΡΕΣΙΕΣ (εγκεκριμένες από την ΕΥΔ)</t>
  </si>
  <si>
    <t>ΠΕ 1.1 ΕΝΗΜΕΡΩΣΗ ΚΟΙΝΩΝΙΚΩΝ ΦΟΡΕΩΝ / ΚΟΙΝΟΥ (π/υ €)</t>
  </si>
  <si>
    <t>ΠΕ 3.1 Παρακολούθηση Ειδών (εκτός ειδών πράξεων ΥΠΕΝ)  (π/υ €)</t>
  </si>
  <si>
    <t>Σύνολο ΠΕ 4</t>
  </si>
  <si>
    <t>Σύνολο ΠΕ 2</t>
  </si>
  <si>
    <t>ΗΜΕΡ/ΝΙΑ ΕΚΤΙΜΟΜΕΝΗΣ ΥΠΟΓΡΑΦΗΣ ΣΥΜΒΑΣΗΣ</t>
  </si>
  <si>
    <t>ΣΥΝΟΛΙΚΟ ΚΟΣΤΟΣ</t>
  </si>
  <si>
    <t>ΗΜ/ΝΙΑ ΛΗΞΗ ΣΥΜΒΑΣΗΣ</t>
  </si>
  <si>
    <t>Πεδία με (*) κατά την ένταξη, δεν είναι υποχρεωτικά, αλλά επιθυμητά. Είναι υποχρεωτική η  αναλυτική συμπλήρωση των επιμέρους γραμμών, απολογιστικά, κατά την ολοκλήρωση της πράξης.</t>
  </si>
  <si>
    <t>ΠΕ 2.4 Δημιουργία βάσεων δεδομένων</t>
  </si>
  <si>
    <t>ΔΗΜOΣΙΟΤΗΤΑ</t>
  </si>
  <si>
    <t>ΥΠ9</t>
  </si>
  <si>
    <t>ΠΑΡΑΚΟΛΟΥΘΗΣΗ ΕΙΔΩΝ (ΕΚΤΟΣ ΠΡΑΞΕΩΝ ΥΠΕΝ)</t>
  </si>
  <si>
    <t>ΠΡΟΜΗΘΕΙΑ ΕΞΟΠΛΙΣΜΟΥ ΓΙΑ ΔΙΑΧΕΙΡΙΣΤΙΚΕΣ ΔΡΑΣΕΙΣ (φράκτες, ξυλεία, δίχτυα, κα)</t>
  </si>
  <si>
    <t>ΠΡΟΜΗΘΕΙΑ ΕΞΟΠΛΙΣΜΟΥ ΓΙΑ ΔΙΑΧΕΙΡΙΣΤΙΚΕΣ ΔΡΑΣΕΙΣ</t>
  </si>
  <si>
    <t>ΛΟΙΠΕΣ ΠΡΟΜΗΘΕΙΕΣ</t>
  </si>
  <si>
    <t>ΟΧΗΜΑΤΑ/ ΣΚΑΦΗ</t>
  </si>
  <si>
    <t>ΕΠΙΣΤΗΜΟΝΙΚΟΣ ΕΞΟΠΛΙΣΜΟΣ</t>
  </si>
  <si>
    <t>ΙΜΑΤΙΣΜΟΣ</t>
  </si>
  <si>
    <t>ΕΞΟΠΛΙΣΜΟΣ ΔΙΑΧΕΙΡΙΣΤΙΚΩΝ ΔΡΑΣΕΩΝ</t>
  </si>
  <si>
    <t>ΜΕΛΕΤΕΣ / ΠΑΡΑΚΟΛΟΥΘΗΣΗ                                      (ΣΥΝΕΡΓΕΙΑ ΜΕ ΔΡΑΣΕΙΣ ΥΠΕΝ)</t>
  </si>
  <si>
    <t>ΠΡΟΜΗΘΕΙΑ ΕΠΙΣΤΗΜΟΝΙΚΟΥ ΕΞΟΠΛΙΣΜΟΥ (επιστημονικός εξοπλισμός και εξοπλισμός παρακολούθησης)</t>
  </si>
  <si>
    <t>ΠE1</t>
  </si>
  <si>
    <t>ΠE2</t>
  </si>
  <si>
    <t>ΠE3</t>
  </si>
  <si>
    <t>ΠE4</t>
  </si>
  <si>
    <t>ΠE.1.1</t>
  </si>
  <si>
    <t>ΠE.1.2</t>
  </si>
  <si>
    <t>ΠΕ.1.3</t>
  </si>
  <si>
    <t>ΠΕ.2.1</t>
  </si>
  <si>
    <t>ΠΕ.2.2</t>
  </si>
  <si>
    <t>ΠΕ.2.3</t>
  </si>
  <si>
    <t>ΠΕ.2.4</t>
  </si>
  <si>
    <t>ΠΕ.3.1</t>
  </si>
  <si>
    <t>ΠΕ.3.2</t>
  </si>
  <si>
    <t>ΠΕ.3.3</t>
  </si>
  <si>
    <t>ΠΕ.3.4</t>
  </si>
  <si>
    <t>ΠΕ.4.1</t>
  </si>
  <si>
    <t>ΠΕ.4.2</t>
  </si>
  <si>
    <t>ΠΕ.4.3</t>
  </si>
  <si>
    <t>ΠΕ.4.4</t>
  </si>
  <si>
    <t>ΠΕ.4.5</t>
  </si>
  <si>
    <t>ΠΕ.4.6</t>
  </si>
  <si>
    <t>ΠΕ.4.7</t>
  </si>
  <si>
    <t>ΠΕ.4.8</t>
  </si>
  <si>
    <t>ΠΕ.4.9</t>
  </si>
  <si>
    <t>ΠΕ.4.10</t>
  </si>
  <si>
    <t>ΕΡΓΑ (πϋ &gt; 60.000€)                                           (απαιτείται Τεχνική Επάρκεια - Προγραμματική Σύμβαση)</t>
  </si>
  <si>
    <t>ΤΕΧΝΙΚΕΣ ΜΕΛΕΤΕΣ                        (πϋ &gt; 60.000€)                                   (απαιτείται Τεχνική Επάρκεια - Προγραμματική Σύμβαση)</t>
  </si>
  <si>
    <t>ΣΥΝΟΛΟ ΑΥΤΕΠΙΣΤΑΣΙΑΣ</t>
  </si>
  <si>
    <t>ΣΥΝΟΛΟ ΛΟΙΠΩΝ ΥΠΟΕΡΓΩΝ</t>
  </si>
  <si>
    <t>ΚΑΘΑΡΟ ΠΟΣΟ ΔΔ</t>
  </si>
  <si>
    <t>ΦΠΑ ΔΔ</t>
  </si>
  <si>
    <t>ΣΥΝΟΛΟ ΔΗΜΟΣΙΑΣ ΔΑΠΑΝΗΣ (ΔΔ)</t>
  </si>
  <si>
    <t>ΟΡΙΖΟΝΤΙΟ ΚΟΣΤΟΣ (αφορά περισσότερα Π.Ε.)</t>
  </si>
  <si>
    <t>ΠΕ.2 ΔΙΚΤΥΩΣΗ / ΤΕΧΝΟΓΝΩΣΙΑ / ΕΠΙΣΤΗΜΟΝΙΚΗ ΤΕΚΜΗΡΙΩΣΗ</t>
  </si>
  <si>
    <t>ΠΕ.3 ΠΑΡΑΚΟΛΟΥΘΗΣΗ / ΜΕΛΕΤΕΣ</t>
  </si>
  <si>
    <t>ΠΕ.4 ΔΙΑΧΕΙΡΙΣΤΙΚΕΣ ΔΡΑΣΕΙΣ</t>
  </si>
  <si>
    <t>ΟΝΟΜΑ ΕΡΓΑΖΟΜΕΝΟΥ</t>
  </si>
  <si>
    <t>ΠΕ.1. ΠΡΟΒΟΛΗ ΔΡΑΣΕΩΝ ΠΡΑΞΗΣ ΕΠ ΥΜΕΠΕΡΑΑ</t>
  </si>
  <si>
    <t>ΣΥΝΟΛΟ ΑΝΘ/ΩΡΩΝ</t>
  </si>
  <si>
    <t>ΣΥΝΟΛΟ ΑΝΘΡΩΠΟΜΕΡΕΣ ΓΙΑ ΠΕΡΙΟΔΟ 1/1/2018-31/12/2023</t>
  </si>
  <si>
    <t xml:space="preserve">% ΑΠΟΣΧΟΛΗΣΗΣ ΣΤΗΝ ΠΡΑΞΗ (ΣΕ ΣΧΕΣΗ ΜΕ ΣΥΝΟΛΙΚΟ ΧΡΟΝΟ ΕΡΓΑΣΙΑΣ, ΑΠΌ 1/1/2018 ΕΩΣ 2023) </t>
  </si>
  <si>
    <t>ΠΕ1</t>
  </si>
  <si>
    <t>ΠΕ2</t>
  </si>
  <si>
    <t>ΠΕ3</t>
  </si>
  <si>
    <t>ΠΕ4</t>
  </si>
  <si>
    <t>ΠΕ.1.1</t>
  </si>
  <si>
    <t>ΣΥΝΟΛΟ ΑΝΘΡΩΠΟΩΡΩΝ ΓΙΑ ΤΗΝ ΠΡΑΞΗ</t>
  </si>
  <si>
    <t>ΠΑΡΑΔΟΧΗ: ΣΥΝΟΛΟ ΑΝΘΡΩΠΟΩΡΩΝ ΠΕΡΙΟΔΟΥ 1/10/2018-31/12/2023: (1720*0,25+1720*5=9030)</t>
  </si>
  <si>
    <t>ΑΝΘΡΩΠΟΩΡΕΣ (ΑΥΤΕΠΙΣΤΑΣΙΑ)</t>
  </si>
  <si>
    <t>ΣΧΕΤΙΚΟ ΥΠΟΕΡΓΟ</t>
  </si>
  <si>
    <t xml:space="preserve">ΠΟΣΟΤΗΤΑ </t>
  </si>
  <si>
    <t xml:space="preserve">ΤΙΜΗ ΜΟΝΑΔΑΣ </t>
  </si>
  <si>
    <t xml:space="preserve">ΣΥΝΟΛΙΚΟ ΚΟΣΤΟΣ </t>
  </si>
  <si>
    <t xml:space="preserve">ΠΕ.3.1, ΠΕ.4.3 </t>
  </si>
  <si>
    <t>ΤΕΧΝΙΚΕΣ ΜΕΛΕΤΕΣ &lt; = 60.000€</t>
  </si>
  <si>
    <t>ΕΡΓΑ &lt;= 60.000€</t>
  </si>
  <si>
    <t>ΤΕΧΝΙΚΕΣ ΜΕΛΕΤΕΣ &lt;= 60.000€</t>
  </si>
  <si>
    <r>
      <t xml:space="preserve">ΕΠΙΛΕΞΙΜΕΣ ΔΑΠΑΝΕΣ ΑΥΤΕΠΙΣΤΑΣΙΑΣ                                                                    </t>
    </r>
    <r>
      <rPr>
        <b/>
        <sz val="6"/>
        <color theme="9" tint="-0.249977111117893"/>
        <rFont val="Cambria"/>
        <family val="1"/>
        <charset val="161"/>
      </rPr>
      <t>(πυ &lt;=60.000€, χωρίς ΦΠΑ, αλλιώς ειδική τεκμηρίωση περί μη κατάτμησης ή ξεχωριστό υποέργο)</t>
    </r>
  </si>
  <si>
    <t>ΔΙΑΧΕΙΡΙΣΤΙΚΕΣ ΔΡΑΣΕΙΣ (ΔΡΑΣΕΙΣ ΕΠΕΜΒΑΣΗΣ ΣΤΗ ΦΥΣΗ)</t>
  </si>
  <si>
    <t>ΔΗΜΙΟΥΡΓΙΑ ΟΙΚΟΤΟΠΟΥ ΣΕ ΝΕΑ ΘΕΣΗ / ΕΠΕΚΤΑΣΗ ΟΙΚΟΤΟΠΟΥ</t>
  </si>
  <si>
    <t>ΠΕ 4.7 Δημιουργία Οικοτόπου σε νέα θέση (π/υ €)</t>
  </si>
  <si>
    <t>ΠΕ 4.7 Δημιουργία Οικοτόπου σε νέα θέση</t>
  </si>
  <si>
    <t>ΔΗΜΙΟΥΡΓΙΑ ΟΙΚΟΤΟΠΟΥ ΣΕ ΝΕΑ ΘΕΣΗ</t>
  </si>
  <si>
    <r>
      <t xml:space="preserve">ΥΠΗΡΕΣΙΕΣ ΠΑΡΑΚΟΛΟΥΘΗΣΗΣ ΕΙΔΩΝ  </t>
    </r>
    <r>
      <rPr>
        <sz val="6"/>
        <rFont val="Cambria"/>
        <family val="1"/>
        <charset val="161"/>
      </rPr>
      <t>(ΠΛΗΝ ΟΣΩΝ ΠΑΡΑΚΟΛΟΥΘΟΥΝΤΑΙ ΜΕΣΩ ΠΡΑΞΗΣ ΤΟΥ ΥΠΕΝ)</t>
    </r>
  </si>
  <si>
    <r>
      <t xml:space="preserve">ΥΠΗΡΕΣΙΕΣ ΠΑΡΑΚΟΛΟΥΘΗΣΗΣ ΟΙΚΟΤΟΠΩΝ  </t>
    </r>
    <r>
      <rPr>
        <sz val="6"/>
        <rFont val="Cambria"/>
        <family val="1"/>
        <charset val="161"/>
      </rPr>
      <t>(ΠΛΗΝ ΟΣΩΝ ΠΑΡΑΚΟΛΟΥΘΟΥΝΤΑΙ ΜΕΣΩ ΠΡΑΞΗΣ ΤΟΥ ΥΠΕΝ)</t>
    </r>
  </si>
  <si>
    <r>
      <t xml:space="preserve">ΠΑΡΑΚΟΛΟΥΘΗΣΗ ΕΙΔΩΝ </t>
    </r>
    <r>
      <rPr>
        <i/>
        <sz val="8"/>
        <rFont val="Cambria"/>
        <family val="1"/>
        <charset val="161"/>
      </rPr>
      <t>(ΠΛΗΝ ΟΣΩΝ ΠΑΡΑΚΟΛΟΥΘΟΥΝΤΑΙ ΜΕΣΩ ΠΡΑΞΗΣ ΤΟΥ ΥΠΕΝ)</t>
    </r>
  </si>
  <si>
    <r>
      <t xml:space="preserve">ΠΑΡΑΚΟΛΟΥΘΗΣΗ ΟΙΚΟΤΟΠΩΝ </t>
    </r>
    <r>
      <rPr>
        <i/>
        <sz val="8"/>
        <rFont val="Cambria"/>
        <family val="1"/>
        <charset val="161"/>
      </rPr>
      <t xml:space="preserve"> (ΠΛΗΝ ΟΣΩΝ ΠΑΡΑΚΟΛΟΥΘΟΥΝΤΑΙ ΜΕΣΩ ΠΡΑΞΗΣ ΤΟΥ ΥΠΕΝ)</t>
    </r>
  </si>
  <si>
    <r>
      <t xml:space="preserve">ΜΕΛΕΤΕΣ / ΥΠΗΡΕΣΙΕΣ </t>
    </r>
    <r>
      <rPr>
        <i/>
        <sz val="8"/>
        <rFont val="Cambria"/>
        <family val="1"/>
        <charset val="161"/>
      </rPr>
      <t>(ΑΡΜΟΔΙΟΤΗΤΑΣ ΤΩΝ ΦΔΠΠ - ΜΗ ΥΛΟΠΟΙΟΥΜΕΝΕΣ - ΠΡΟΒΛΕΠΟΜΕΝΕΣ ΑΠΌ ΣΥΝΑΡΜΟΔΙΕΣ ΥΠΗΡΕΣΙΕΣ)</t>
    </r>
  </si>
  <si>
    <r>
      <t xml:space="preserve">ΚΥΡΙΟ ΥΠΟΕΡΓΟ </t>
    </r>
    <r>
      <rPr>
        <sz val="6"/>
        <color theme="1"/>
        <rFont val="Calibri"/>
        <family val="2"/>
        <charset val="161"/>
        <scheme val="minor"/>
      </rPr>
      <t>(Κατά περίπτωση της σημασίας του υποέργου στην επίτευξη του δείκτη εκροής)</t>
    </r>
  </si>
  <si>
    <r>
      <t xml:space="preserve">ΠΡΟΠΑΡΑΣΚΕΥΑΣΤΙΚΟ ΥΠΟΕΡΓΟ </t>
    </r>
    <r>
      <rPr>
        <sz val="6"/>
        <color theme="1"/>
        <rFont val="Calibri"/>
        <family val="2"/>
        <charset val="161"/>
        <scheme val="minor"/>
      </rPr>
      <t>(Κατά περίπτωση της σημασίας του υποέργου στην επίτευξη του δείκτη εκροής)</t>
    </r>
  </si>
  <si>
    <t>ΣΥΝΟΛΑ ΚΟΣΤΟΥΣ ΔΡΑΣΕΩΝ (ΤΑΚΤΙΚΟ ΠΡΟΣΩΠΙΚΟ)</t>
  </si>
  <si>
    <t xml:space="preserve">ΤΙΜΕΣ </t>
  </si>
  <si>
    <t>ΣΥΜΒΑΣΗ ΜΙΣΘΩΣΗΣ ΕΡΓΟΥ</t>
  </si>
  <si>
    <t>ΙΔΟΧ</t>
  </si>
  <si>
    <t>ΣΥΝΟΛΟ ΔΑΠΑΝΩΝ ΤΑΚΤΙΚΟΥ ΠΡΟΣΩΠΙΚΟΥ  (ΜΗ ΕΝΙΣΧΥΟΜΕΝΟΣ Π/Υ)</t>
  </si>
  <si>
    <t xml:space="preserve">Π/Υ ΣΧΕΤΙΚΟΣ ΜΕ ΤΗ ΔΡΑΣΗ </t>
  </si>
  <si>
    <t>ΠΕ 5.1 Κτιριακές παρεμβάσεις (π/υ €)</t>
  </si>
  <si>
    <t>ΠΕ 5.2 Εξοπλισμός ΤΕΠ (π/υ €)</t>
  </si>
  <si>
    <t>ΠΕ5</t>
  </si>
  <si>
    <t>ΠΕ 5</t>
  </si>
  <si>
    <t>ΔΑΠΑΝΕΣ ΕΚΚΙΝΗΣΗΣ</t>
  </si>
  <si>
    <t>ΠΕ.5.1</t>
  </si>
  <si>
    <t>ΠΕ.5.2</t>
  </si>
  <si>
    <t>ΚΤΙΡΙΑΚΕΣ ΠΑΡΕΜΒΑΣΕΙΣ</t>
  </si>
  <si>
    <t>ΕΞΟΠΛΙΣΜΟΣ ΤΕΠ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</si>
</sst>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6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10"/>
      <name val="Arial"/>
      <family val="2"/>
      <charset val="161"/>
    </font>
    <font>
      <sz val="10"/>
      <color theme="9" tint="-0.499984740745262"/>
      <name val="Century Gothic"/>
      <family val="2"/>
      <charset val="161"/>
    </font>
    <font>
      <b/>
      <sz val="11"/>
      <color theme="1"/>
      <name val="Cambria"/>
      <family val="2"/>
      <scheme val="major"/>
    </font>
    <font>
      <sz val="8"/>
      <name val="Century Gothic"/>
      <family val="2"/>
      <charset val="161"/>
    </font>
    <font>
      <sz val="11"/>
      <color rgb="FF000000"/>
      <name val="Calibri"/>
      <family val="2"/>
      <charset val="161"/>
    </font>
    <font>
      <sz val="7.5"/>
      <name val="Calibri"/>
      <family val="2"/>
      <scheme val="minor"/>
    </font>
    <font>
      <b/>
      <sz val="9"/>
      <name val="Arial"/>
      <family val="2"/>
      <charset val="161"/>
    </font>
    <font>
      <b/>
      <sz val="9"/>
      <color indexed="23"/>
      <name val="Century Gothic"/>
      <family val="2"/>
      <charset val="161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9" tint="-0.499984740745262"/>
      <name val="Century Gothic"/>
      <family val="2"/>
    </font>
    <font>
      <b/>
      <sz val="10"/>
      <color theme="9" tint="-0.249977111117893"/>
      <name val="Arial Narrow"/>
      <family val="2"/>
      <charset val="161"/>
    </font>
    <font>
      <b/>
      <sz val="9"/>
      <color theme="9" tint="-0.249977111117893"/>
      <name val="Cambria"/>
      <family val="1"/>
      <charset val="161"/>
    </font>
    <font>
      <sz val="9"/>
      <color theme="9" tint="-0.249977111117893"/>
      <name val="Cambria"/>
      <family val="1"/>
      <charset val="161"/>
    </font>
    <font>
      <sz val="9"/>
      <color theme="1"/>
      <name val="Cambria"/>
      <family val="1"/>
      <charset val="161"/>
    </font>
    <font>
      <b/>
      <sz val="9"/>
      <color theme="9" tint="-0.249977111117893"/>
      <name val="Arial Narrow"/>
      <family val="2"/>
      <charset val="161"/>
    </font>
    <font>
      <b/>
      <sz val="9"/>
      <color theme="9" tint="-0.249977111117893"/>
      <name val="Calibri"/>
      <family val="2"/>
      <charset val="161"/>
      <scheme val="minor"/>
    </font>
    <font>
      <sz val="7.5"/>
      <color theme="1"/>
      <name val="Tahoma"/>
      <family val="2"/>
      <charset val="161"/>
    </font>
    <font>
      <sz val="8"/>
      <name val="Century Gothic"/>
      <family val="2"/>
    </font>
    <font>
      <b/>
      <sz val="9"/>
      <color theme="1"/>
      <name val="Cambria"/>
      <family val="1"/>
      <charset val="161"/>
    </font>
    <font>
      <sz val="10"/>
      <name val="Arial Greek"/>
      <charset val="16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indexed="8"/>
      <name val="Arial"/>
      <family val="2"/>
    </font>
    <font>
      <u/>
      <sz val="8.6999999999999993"/>
      <color theme="10"/>
      <name val="Calibri"/>
      <family val="2"/>
      <charset val="161"/>
    </font>
    <font>
      <i/>
      <sz val="9"/>
      <color theme="1"/>
      <name val="Cambria"/>
      <family val="1"/>
      <charset val="161"/>
    </font>
    <font>
      <b/>
      <sz val="8"/>
      <color theme="9" tint="-0.249977111117893"/>
      <name val="Cambria"/>
      <family val="1"/>
      <charset val="161"/>
    </font>
    <font>
      <sz val="8"/>
      <color theme="1"/>
      <name val="Cambria"/>
      <family val="1"/>
      <charset val="161"/>
    </font>
    <font>
      <sz val="8"/>
      <color theme="9" tint="-0.499984740745262"/>
      <name val="Century Gothic"/>
      <family val="2"/>
      <charset val="161"/>
    </font>
    <font>
      <b/>
      <sz val="10"/>
      <color theme="1"/>
      <name val="Cambria"/>
      <family val="1"/>
      <charset val="161"/>
    </font>
    <font>
      <b/>
      <sz val="6"/>
      <color theme="9" tint="-0.249977111117893"/>
      <name val="Cambria"/>
      <family val="1"/>
      <charset val="161"/>
    </font>
    <font>
      <b/>
      <sz val="7"/>
      <color theme="9" tint="-0.249977111117893"/>
      <name val="Cambria"/>
      <family val="1"/>
      <charset val="161"/>
    </font>
    <font>
      <b/>
      <sz val="8"/>
      <color theme="1"/>
      <name val="Cambria"/>
      <family val="1"/>
      <charset val="161"/>
    </font>
    <font>
      <sz val="9"/>
      <color theme="1"/>
      <name val="Cambria"/>
      <family val="1"/>
      <charset val="161"/>
      <scheme val="major"/>
    </font>
    <font>
      <sz val="6"/>
      <color theme="9" tint="-0.249977111117893"/>
      <name val="Calibri"/>
      <family val="2"/>
      <charset val="161"/>
      <scheme val="minor"/>
    </font>
    <font>
      <sz val="6"/>
      <color theme="1"/>
      <name val="Calibri"/>
      <family val="2"/>
      <charset val="161"/>
      <scheme val="minor"/>
    </font>
    <font>
      <sz val="5"/>
      <color theme="9" tint="-0.249977111117893"/>
      <name val="Calibri"/>
      <family val="2"/>
      <charset val="161"/>
      <scheme val="minor"/>
    </font>
    <font>
      <sz val="5"/>
      <color theme="1"/>
      <name val="Calibri"/>
      <family val="2"/>
      <charset val="161"/>
      <scheme val="minor"/>
    </font>
    <font>
      <b/>
      <sz val="5"/>
      <color theme="9" tint="-0.249977111117893"/>
      <name val="Cambria"/>
      <family val="1"/>
      <charset val="161"/>
    </font>
    <font>
      <b/>
      <sz val="10"/>
      <color theme="9" tint="-0.249977111117893"/>
      <name val="Cambria"/>
      <family val="1"/>
      <charset val="161"/>
    </font>
    <font>
      <b/>
      <sz val="11"/>
      <color rgb="FFFF0000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10"/>
      <color theme="9" tint="-0.499984740745262"/>
      <name val="Century Gothic"/>
      <family val="2"/>
      <charset val="161"/>
    </font>
    <font>
      <sz val="6"/>
      <color indexed="81"/>
      <name val="Tahoma"/>
      <family val="2"/>
      <charset val="161"/>
    </font>
    <font>
      <b/>
      <sz val="6"/>
      <color indexed="81"/>
      <name val="Tahoma"/>
      <family val="2"/>
      <charset val="161"/>
    </font>
    <font>
      <sz val="8"/>
      <name val="Cambria"/>
      <family val="1"/>
      <charset val="161"/>
    </font>
    <font>
      <sz val="6"/>
      <name val="Cambria"/>
      <family val="1"/>
      <charset val="161"/>
    </font>
    <font>
      <i/>
      <sz val="9"/>
      <name val="Cambria"/>
      <family val="1"/>
      <charset val="161"/>
    </font>
    <font>
      <i/>
      <sz val="8"/>
      <name val="Cambria"/>
      <family val="1"/>
      <charset val="161"/>
    </font>
    <font>
      <sz val="9"/>
      <name val="Cambria"/>
      <family val="1"/>
      <charset val="161"/>
    </font>
    <font>
      <sz val="11"/>
      <name val="Calibri"/>
      <family val="2"/>
      <charset val="161"/>
      <scheme val="minor"/>
    </font>
    <font>
      <sz val="9"/>
      <color theme="1"/>
      <name val="Cambria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4506668294322"/>
        <bgColor indexed="65"/>
      </patternFill>
    </fill>
    <fill>
      <patternFill patternType="lightDown">
        <fgColor theme="0" tint="-0.34998626667073579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EF2"/>
        <bgColor indexed="64"/>
      </patternFill>
    </fill>
    <fill>
      <patternFill patternType="solid">
        <fgColor rgb="FFFEFEB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8" borderId="2">
      <alignment horizontal="left" vertical="center"/>
    </xf>
    <xf numFmtId="0" fontId="6" fillId="0" borderId="0"/>
    <xf numFmtId="0" fontId="9" fillId="9" borderId="3">
      <alignment vertical="center" wrapText="1"/>
    </xf>
    <xf numFmtId="0" fontId="10" fillId="0" borderId="0"/>
    <xf numFmtId="2" fontId="11" fillId="0" borderId="0">
      <alignment horizontal="left" vertical="center"/>
    </xf>
    <xf numFmtId="44" fontId="28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9" fillId="0" borderId="0"/>
    <xf numFmtId="0" fontId="6" fillId="0" borderId="0"/>
    <xf numFmtId="0" fontId="30" fillId="0" borderId="0"/>
    <xf numFmtId="0" fontId="6" fillId="0" borderId="0"/>
    <xf numFmtId="0" fontId="30" fillId="0" borderId="0">
      <alignment vertical="top"/>
    </xf>
    <xf numFmtId="0" fontId="30" fillId="0" borderId="0">
      <alignment vertical="top"/>
    </xf>
    <xf numFmtId="0" fontId="28" fillId="0" borderId="0"/>
    <xf numFmtId="0" fontId="3" fillId="0" borderId="0"/>
    <xf numFmtId="0" fontId="31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0" xfId="0" applyNumberFormat="1"/>
    <xf numFmtId="0" fontId="0" fillId="0" borderId="0" xfId="0" applyBorder="1"/>
    <xf numFmtId="0" fontId="0" fillId="5" borderId="1" xfId="0" applyFill="1" applyBorder="1" applyAlignment="1">
      <alignment wrapText="1"/>
    </xf>
    <xf numFmtId="4" fontId="0" fillId="5" borderId="1" xfId="0" applyNumberFormat="1" applyFill="1" applyBorder="1"/>
    <xf numFmtId="4" fontId="1" fillId="5" borderId="1" xfId="0" applyNumberFormat="1" applyFont="1" applyFill="1" applyBorder="1" applyAlignment="1">
      <alignment wrapText="1"/>
    </xf>
    <xf numFmtId="4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/>
    <xf numFmtId="0" fontId="0" fillId="6" borderId="0" xfId="0" applyFill="1"/>
    <xf numFmtId="4" fontId="0" fillId="6" borderId="1" xfId="0" applyNumberFormat="1" applyFill="1" applyBorder="1"/>
    <xf numFmtId="4" fontId="0" fillId="0" borderId="1" xfId="0" applyNumberFormat="1" applyBorder="1"/>
    <xf numFmtId="0" fontId="17" fillId="0" borderId="0" xfId="0" applyFont="1"/>
    <xf numFmtId="0" fontId="14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22" fillId="0" borderId="0" xfId="0" applyFont="1"/>
    <xf numFmtId="0" fontId="22" fillId="0" borderId="0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2" fillId="4" borderId="1" xfId="0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0" fillId="5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0" fillId="4" borderId="1" xfId="0" applyNumberFormat="1" applyFill="1" applyBorder="1" applyAlignment="1">
      <alignment wrapText="1"/>
    </xf>
    <xf numFmtId="4" fontId="1" fillId="4" borderId="1" xfId="0" applyNumberFormat="1" applyFont="1" applyFill="1" applyBorder="1"/>
    <xf numFmtId="4" fontId="2" fillId="5" borderId="1" xfId="0" applyNumberFormat="1" applyFont="1" applyFill="1" applyBorder="1" applyAlignment="1">
      <alignment wrapText="1"/>
    </xf>
    <xf numFmtId="4" fontId="0" fillId="5" borderId="1" xfId="0" applyNumberFormat="1" applyFill="1" applyBorder="1" applyAlignment="1"/>
    <xf numFmtId="4" fontId="0" fillId="4" borderId="1" xfId="0" applyNumberFormat="1" applyFill="1" applyBorder="1"/>
    <xf numFmtId="0" fontId="0" fillId="3" borderId="1" xfId="0" applyFill="1" applyBorder="1" applyAlignment="1">
      <alignment wrapText="1"/>
    </xf>
    <xf numFmtId="0" fontId="23" fillId="4" borderId="1" xfId="0" applyFont="1" applyFill="1" applyBorder="1" applyAlignment="1">
      <alignment horizontal="center" wrapText="1"/>
    </xf>
    <xf numFmtId="4" fontId="0" fillId="4" borderId="0" xfId="0" applyNumberFormat="1" applyFill="1" applyBorder="1"/>
    <xf numFmtId="0" fontId="0" fillId="3" borderId="1" xfId="0" applyFill="1" applyBorder="1" applyAlignment="1">
      <alignment horizontal="center"/>
    </xf>
    <xf numFmtId="0" fontId="0" fillId="0" borderId="0" xfId="0" applyAlignment="1">
      <alignment wrapText="1"/>
    </xf>
    <xf numFmtId="4" fontId="27" fillId="0" borderId="0" xfId="0" applyNumberFormat="1" applyFont="1"/>
    <xf numFmtId="0" fontId="22" fillId="4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horizontal="center"/>
    </xf>
    <xf numFmtId="0" fontId="13" fillId="7" borderId="1" xfId="2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wrapText="1"/>
    </xf>
    <xf numFmtId="0" fontId="12" fillId="0" borderId="1" xfId="2" applyFont="1" applyBorder="1" applyAlignment="1">
      <alignment horizontal="center"/>
    </xf>
    <xf numFmtId="0" fontId="20" fillId="5" borderId="1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0" fillId="3" borderId="0" xfId="0" applyFill="1"/>
    <xf numFmtId="0" fontId="34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34" fillId="11" borderId="1" xfId="0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center" vertical="center" wrapText="1"/>
    </xf>
    <xf numFmtId="0" fontId="0" fillId="11" borderId="0" xfId="0" applyFill="1"/>
    <xf numFmtId="0" fontId="0" fillId="11" borderId="0" xfId="0" applyFill="1" applyAlignment="1">
      <alignment wrapText="1"/>
    </xf>
    <xf numFmtId="0" fontId="0" fillId="5" borderId="1" xfId="0" applyFill="1" applyBorder="1" applyAlignment="1">
      <alignment horizontal="center" wrapText="1"/>
    </xf>
    <xf numFmtId="0" fontId="25" fillId="5" borderId="1" xfId="0" applyFont="1" applyFill="1" applyBorder="1" applyAlignment="1">
      <alignment wrapText="1"/>
    </xf>
    <xf numFmtId="0" fontId="25" fillId="5" borderId="1" xfId="0" applyFont="1" applyFill="1" applyBorder="1"/>
    <xf numFmtId="0" fontId="22" fillId="5" borderId="5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3" fontId="0" fillId="10" borderId="1" xfId="0" applyNumberFormat="1" applyFill="1" applyBorder="1"/>
    <xf numFmtId="3" fontId="2" fillId="10" borderId="1" xfId="0" applyNumberFormat="1" applyFont="1" applyFill="1" applyBorder="1" applyAlignment="1">
      <alignment wrapText="1"/>
    </xf>
    <xf numFmtId="3" fontId="1" fillId="10" borderId="1" xfId="0" applyNumberFormat="1" applyFont="1" applyFill="1" applyBorder="1"/>
    <xf numFmtId="0" fontId="34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7" fillId="0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4" fontId="0" fillId="13" borderId="1" xfId="0" applyNumberFormat="1" applyFill="1" applyBorder="1" applyAlignment="1">
      <alignment wrapText="1"/>
    </xf>
    <xf numFmtId="0" fontId="0" fillId="0" borderId="0" xfId="0" applyAlignment="1">
      <alignment wrapText="1"/>
    </xf>
    <xf numFmtId="0" fontId="39" fillId="11" borderId="1" xfId="0" applyFont="1" applyFill="1" applyBorder="1" applyAlignment="1">
      <alignment horizontal="center" vertical="center" wrapText="1"/>
    </xf>
    <xf numFmtId="0" fontId="40" fillId="11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5" borderId="1" xfId="0" applyFill="1" applyBorder="1" applyAlignment="1">
      <alignment horizontal="left" wrapText="1"/>
    </xf>
    <xf numFmtId="0" fontId="34" fillId="6" borderId="1" xfId="0" applyFont="1" applyFill="1" applyBorder="1" applyAlignment="1">
      <alignment horizontal="center" vertical="center" wrapText="1"/>
    </xf>
    <xf numFmtId="2" fontId="2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wrapText="1"/>
    </xf>
    <xf numFmtId="0" fontId="41" fillId="6" borderId="1" xfId="0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6" fillId="3" borderId="1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wrapText="1"/>
    </xf>
    <xf numFmtId="0" fontId="23" fillId="5" borderId="1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4" fontId="1" fillId="1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4" fontId="1" fillId="14" borderId="1" xfId="0" applyNumberFormat="1" applyFont="1" applyFill="1" applyBorder="1" applyAlignment="1">
      <alignment wrapText="1"/>
    </xf>
    <xf numFmtId="4" fontId="24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1" fillId="14" borderId="1" xfId="0" applyFont="1" applyFill="1" applyBorder="1" applyAlignment="1">
      <alignment horizontal="center" wrapText="1"/>
    </xf>
    <xf numFmtId="0" fontId="1" fillId="14" borderId="1" xfId="0" applyFont="1" applyFill="1" applyBorder="1" applyAlignment="1">
      <alignment horizontal="center"/>
    </xf>
    <xf numFmtId="4" fontId="1" fillId="11" borderId="1" xfId="0" applyNumberFormat="1" applyFont="1" applyFill="1" applyBorder="1" applyAlignment="1">
      <alignment wrapText="1"/>
    </xf>
    <xf numFmtId="9" fontId="1" fillId="11" borderId="1" xfId="1" applyFont="1" applyFill="1" applyBorder="1" applyAlignment="1">
      <alignment wrapText="1"/>
    </xf>
    <xf numFmtId="4" fontId="23" fillId="3" borderId="1" xfId="0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1" fillId="10" borderId="1" xfId="0" applyNumberFormat="1" applyFont="1" applyFill="1" applyBorder="1"/>
    <xf numFmtId="0" fontId="0" fillId="0" borderId="0" xfId="0" applyAlignment="1"/>
    <xf numFmtId="0" fontId="20" fillId="6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" fontId="22" fillId="0" borderId="0" xfId="0" applyNumberFormat="1" applyFont="1"/>
    <xf numFmtId="0" fontId="22" fillId="15" borderId="1" xfId="0" applyFont="1" applyFill="1" applyBorder="1"/>
    <xf numFmtId="0" fontId="22" fillId="4" borderId="1" xfId="0" applyFont="1" applyFill="1" applyBorder="1" applyAlignment="1">
      <alignment horizontal="left" wrapText="1"/>
    </xf>
    <xf numFmtId="4" fontId="22" fillId="4" borderId="1" xfId="0" applyNumberFormat="1" applyFont="1" applyFill="1" applyBorder="1"/>
    <xf numFmtId="14" fontId="22" fillId="4" borderId="1" xfId="0" applyNumberFormat="1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/>
    </xf>
    <xf numFmtId="0" fontId="1" fillId="16" borderId="1" xfId="0" applyFont="1" applyFill="1" applyBorder="1" applyAlignment="1">
      <alignment wrapText="1"/>
    </xf>
    <xf numFmtId="4" fontId="1" fillId="16" borderId="1" xfId="0" applyNumberFormat="1" applyFont="1" applyFill="1" applyBorder="1" applyAlignment="1">
      <alignment wrapText="1"/>
    </xf>
    <xf numFmtId="4" fontId="1" fillId="16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4" fontId="48" fillId="14" borderId="1" xfId="0" applyNumberFormat="1" applyFont="1" applyFill="1" applyBorder="1"/>
    <xf numFmtId="4" fontId="48" fillId="2" borderId="1" xfId="0" applyNumberFormat="1" applyFont="1" applyFill="1" applyBorder="1" applyAlignment="1">
      <alignment wrapText="1"/>
    </xf>
    <xf numFmtId="4" fontId="48" fillId="4" borderId="1" xfId="0" applyNumberFormat="1" applyFont="1" applyFill="1" applyBorder="1" applyAlignment="1">
      <alignment horizontal="center" vertical="center" wrapText="1"/>
    </xf>
    <xf numFmtId="4" fontId="48" fillId="16" borderId="1" xfId="0" applyNumberFormat="1" applyFont="1" applyFill="1" applyBorder="1" applyAlignment="1">
      <alignment wrapText="1"/>
    </xf>
    <xf numFmtId="0" fontId="0" fillId="14" borderId="1" xfId="0" applyFill="1" applyBorder="1"/>
    <xf numFmtId="0" fontId="0" fillId="14" borderId="1" xfId="0" applyFill="1" applyBorder="1" applyAlignment="1">
      <alignment horizontal="center"/>
    </xf>
    <xf numFmtId="4" fontId="0" fillId="14" borderId="1" xfId="0" applyNumberFormat="1" applyFill="1" applyBorder="1"/>
    <xf numFmtId="0" fontId="1" fillId="14" borderId="1" xfId="0" applyFont="1" applyFill="1" applyBorder="1"/>
    <xf numFmtId="0" fontId="48" fillId="2" borderId="1" xfId="0" applyFont="1" applyFill="1" applyBorder="1" applyAlignment="1">
      <alignment wrapText="1"/>
    </xf>
    <xf numFmtId="0" fontId="48" fillId="16" borderId="1" xfId="0" applyFont="1" applyFill="1" applyBorder="1" applyAlignment="1">
      <alignment wrapText="1"/>
    </xf>
    <xf numFmtId="0" fontId="0" fillId="5" borderId="1" xfId="0" applyFill="1" applyBorder="1"/>
    <xf numFmtId="0" fontId="1" fillId="10" borderId="1" xfId="0" applyFont="1" applyFill="1" applyBorder="1"/>
    <xf numFmtId="4" fontId="1" fillId="10" borderId="1" xfId="0" applyNumberFormat="1" applyFont="1" applyFill="1" applyBorder="1" applyAlignment="1"/>
    <xf numFmtId="0" fontId="49" fillId="10" borderId="1" xfId="0" applyFont="1" applyFill="1" applyBorder="1" applyAlignment="1">
      <alignment wrapText="1"/>
    </xf>
    <xf numFmtId="0" fontId="22" fillId="6" borderId="1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wrapText="1"/>
    </xf>
    <xf numFmtId="4" fontId="22" fillId="6" borderId="1" xfId="0" applyNumberFormat="1" applyFont="1" applyFill="1" applyBorder="1"/>
    <xf numFmtId="14" fontId="22" fillId="6" borderId="1" xfId="0" applyNumberFormat="1" applyFont="1" applyFill="1" applyBorder="1"/>
    <xf numFmtId="0" fontId="22" fillId="6" borderId="1" xfId="0" applyFont="1" applyFill="1" applyBorder="1"/>
    <xf numFmtId="4" fontId="20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/>
    </xf>
    <xf numFmtId="0" fontId="19" fillId="5" borderId="0" xfId="0" applyFont="1" applyFill="1" applyAlignment="1">
      <alignment horizontal="center" wrapText="1"/>
    </xf>
    <xf numFmtId="9" fontId="0" fillId="5" borderId="1" xfId="1" applyFont="1" applyFill="1" applyBorder="1"/>
    <xf numFmtId="4" fontId="0" fillId="4" borderId="1" xfId="0" applyNumberFormat="1" applyFill="1" applyBorder="1" applyAlignment="1"/>
    <xf numFmtId="0" fontId="13" fillId="10" borderId="1" xfId="2" applyFont="1" applyFill="1" applyBorder="1" applyAlignment="1">
      <alignment horizontal="center" vertical="center" wrapText="1"/>
    </xf>
    <xf numFmtId="0" fontId="7" fillId="10" borderId="1" xfId="2" applyNumberFormat="1" applyFont="1" applyFill="1" applyBorder="1" applyAlignment="1">
      <alignment vertical="center" textRotation="90" wrapText="1"/>
    </xf>
    <xf numFmtId="0" fontId="7" fillId="10" borderId="1" xfId="2" applyNumberFormat="1" applyFont="1" applyFill="1" applyBorder="1" applyAlignment="1">
      <alignment horizontal="center" vertical="center" textRotation="90" wrapText="1"/>
    </xf>
    <xf numFmtId="0" fontId="36" fillId="10" borderId="1" xfId="2" applyNumberFormat="1" applyFont="1" applyFill="1" applyBorder="1" applyAlignment="1">
      <alignment vertical="center" textRotation="90" wrapText="1"/>
    </xf>
    <xf numFmtId="0" fontId="50" fillId="10" borderId="1" xfId="2" applyNumberFormat="1" applyFont="1" applyFill="1" applyBorder="1" applyAlignment="1">
      <alignment vertical="center" textRotation="90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1" fillId="10" borderId="0" xfId="0" applyFont="1" applyFill="1" applyBorder="1"/>
    <xf numFmtId="0" fontId="36" fillId="4" borderId="1" xfId="2" applyNumberFormat="1" applyFont="1" applyFill="1" applyBorder="1" applyAlignment="1">
      <alignment vertical="center" textRotation="90" wrapText="1"/>
    </xf>
    <xf numFmtId="0" fontId="7" fillId="4" borderId="1" xfId="2" applyNumberFormat="1" applyFont="1" applyFill="1" applyBorder="1" applyAlignment="1">
      <alignment vertical="center" textRotation="90" wrapText="1"/>
    </xf>
    <xf numFmtId="0" fontId="7" fillId="4" borderId="1" xfId="2" applyNumberFormat="1" applyFont="1" applyFill="1" applyBorder="1" applyAlignment="1">
      <alignment horizontal="center" vertical="center" textRotation="90" wrapText="1"/>
    </xf>
    <xf numFmtId="4" fontId="0" fillId="4" borderId="1" xfId="0" applyNumberFormat="1" applyFill="1" applyBorder="1" applyAlignment="1" applyProtection="1">
      <alignment wrapText="1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16" borderId="1" xfId="0" applyFont="1" applyFill="1" applyBorder="1"/>
    <xf numFmtId="0" fontId="53" fillId="12" borderId="1" xfId="0" applyFont="1" applyFill="1" applyBorder="1" applyAlignment="1">
      <alignment horizontal="center" vertical="center" wrapText="1"/>
    </xf>
    <xf numFmtId="0" fontId="53" fillId="3" borderId="1" xfId="0" applyFont="1" applyFill="1" applyBorder="1" applyAlignment="1">
      <alignment horizontal="center" vertical="center" wrapText="1"/>
    </xf>
    <xf numFmtId="0" fontId="53" fillId="3" borderId="5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57" fillId="5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" fontId="13" fillId="7" borderId="1" xfId="2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10" borderId="1" xfId="0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center" vertical="center" textRotation="255"/>
    </xf>
    <xf numFmtId="0" fontId="43" fillId="0" borderId="4" xfId="0" applyFont="1" applyBorder="1" applyAlignment="1"/>
    <xf numFmtId="0" fontId="43" fillId="0" borderId="6" xfId="0" applyFont="1" applyBorder="1" applyAlignment="1"/>
    <xf numFmtId="0" fontId="44" fillId="3" borderId="5" xfId="0" applyFont="1" applyFill="1" applyBorder="1" applyAlignment="1">
      <alignment horizontal="center" vertical="center" textRotation="255"/>
    </xf>
    <xf numFmtId="0" fontId="45" fillId="0" borderId="4" xfId="0" applyFont="1" applyBorder="1" applyAlignment="1"/>
    <xf numFmtId="0" fontId="45" fillId="0" borderId="6" xfId="0" applyFont="1" applyBorder="1" applyAlignment="1"/>
    <xf numFmtId="0" fontId="0" fillId="0" borderId="4" xfId="0" applyBorder="1" applyAlignment="1"/>
    <xf numFmtId="0" fontId="57" fillId="5" borderId="5" xfId="0" applyFont="1" applyFill="1" applyBorder="1" applyAlignment="1">
      <alignment horizontal="center" vertical="center"/>
    </xf>
    <xf numFmtId="0" fontId="57" fillId="5" borderId="4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57" fillId="5" borderId="5" xfId="0" applyFont="1" applyFill="1" applyBorder="1" applyAlignment="1">
      <alignment horizontal="center" vertical="center" wrapText="1"/>
    </xf>
    <xf numFmtId="0" fontId="57" fillId="5" borderId="4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2" fontId="57" fillId="5" borderId="5" xfId="0" applyNumberFormat="1" applyFont="1" applyFill="1" applyBorder="1" applyAlignment="1">
      <alignment horizontal="center" vertical="center"/>
    </xf>
    <xf numFmtId="2" fontId="57" fillId="5" borderId="4" xfId="0" applyNumberFormat="1" applyFont="1" applyFill="1" applyBorder="1" applyAlignment="1">
      <alignment horizontal="center" vertical="center"/>
    </xf>
    <xf numFmtId="2" fontId="58" fillId="0" borderId="6" xfId="0" applyNumberFormat="1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 wrapText="1"/>
    </xf>
    <xf numFmtId="2" fontId="22" fillId="5" borderId="5" xfId="0" applyNumberFormat="1" applyFont="1" applyFill="1" applyBorder="1" applyAlignment="1">
      <alignment horizontal="center" vertical="center"/>
    </xf>
    <xf numFmtId="2" fontId="22" fillId="5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1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59" fillId="5" borderId="1" xfId="0" applyFont="1" applyFill="1" applyBorder="1" applyAlignment="1">
      <alignment horizontal="center" vertical="center"/>
    </xf>
    <xf numFmtId="0" fontId="59" fillId="5" borderId="1" xfId="0" applyFont="1" applyFill="1" applyBorder="1" applyAlignment="1">
      <alignment horizontal="center" vertical="center" wrapText="1"/>
    </xf>
    <xf numFmtId="0" fontId="59" fillId="5" borderId="1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vertical="center"/>
    </xf>
    <xf numFmtId="0" fontId="59" fillId="5" borderId="5" xfId="0" applyFont="1" applyFill="1" applyBorder="1" applyAlignment="1">
      <alignment horizontal="center" vertical="center" wrapText="1"/>
    </xf>
    <xf numFmtId="0" fontId="59" fillId="5" borderId="6" xfId="0" applyFont="1" applyFill="1" applyBorder="1" applyAlignment="1">
      <alignment horizontal="center" vertical="center" wrapText="1"/>
    </xf>
  </cellXfs>
  <cellStyles count="26">
    <cellStyle name="Euro" xfId="8"/>
    <cellStyle name="Euro 2" xfId="9"/>
    <cellStyle name="Excel Built-in Normal" xfId="10"/>
    <cellStyle name="Normal 2" xfId="11"/>
    <cellStyle name="Normal_Sheet1" xfId="12"/>
    <cellStyle name="Page Title Bar" xfId="3"/>
    <cellStyle name="TableStyleLight1" xfId="4"/>
    <cellStyle name="Βασικό_erga over 2ek" xfId="13"/>
    <cellStyle name="Διαγράμμιση" xfId="5"/>
    <cellStyle name="Κανονικό" xfId="0" builtinId="0"/>
    <cellStyle name="Κανονικό 18" xfId="14"/>
    <cellStyle name="Κανονικό 2" xfId="2"/>
    <cellStyle name="Κανονικό 2 2" xfId="6"/>
    <cellStyle name="Κανονικό 23" xfId="15"/>
    <cellStyle name="Κανονικό 3" xfId="7"/>
    <cellStyle name="Κανονικό 3 2" xfId="16"/>
    <cellStyle name="Κανονικό 3 3" xfId="17"/>
    <cellStyle name="Κανονικό 4" xfId="18"/>
    <cellStyle name="Κανονικό 5" xfId="19"/>
    <cellStyle name="Κανονικό 5 2" xfId="20"/>
    <cellStyle name="Κόμμα 2" xfId="21"/>
    <cellStyle name="Κόμμα 3" xfId="22"/>
    <cellStyle name="Ποσοστό" xfId="1" builtinId="5"/>
    <cellStyle name="Ποσοστό 2" xfId="23"/>
    <cellStyle name="Ποσοστό 3" xfId="24"/>
    <cellStyle name="Υπερ-σύνδεση 2" xfId="25"/>
  </cellStyles>
  <dxfs count="0"/>
  <tableStyles count="0" defaultTableStyle="TableStyleMedium2" defaultPivotStyle="PivotStyleLight16"/>
  <colors>
    <mruColors>
      <color rgb="FFFFFF00"/>
      <color rgb="FFFFFF99"/>
      <color rgb="FFFFFFCC"/>
      <color rgb="FFF8F8F8"/>
      <color rgb="FFFEFEB4"/>
      <color rgb="FFFF9900"/>
      <color rgb="FFDCE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topLeftCell="A16" zoomScale="130" zoomScaleNormal="130" workbookViewId="0">
      <selection activeCell="E25" sqref="E25"/>
    </sheetView>
  </sheetViews>
  <sheetFormatPr defaultRowHeight="14.4" x14ac:dyDescent="0.3"/>
  <cols>
    <col min="1" max="1" width="8.6640625" customWidth="1"/>
    <col min="2" max="2" width="19.44140625" customWidth="1"/>
    <col min="3" max="3" width="10" customWidth="1"/>
    <col min="4" max="4" width="7.6640625" customWidth="1"/>
    <col min="5" max="5" width="34.109375" customWidth="1"/>
    <col min="6" max="6" width="3.6640625" customWidth="1"/>
    <col min="7" max="7" width="5.6640625" customWidth="1"/>
    <col min="8" max="8" width="6.88671875" customWidth="1"/>
    <col min="9" max="9" width="5.5546875" customWidth="1"/>
    <col min="10" max="10" width="28.33203125" customWidth="1"/>
    <col min="11" max="11" width="4.6640625" customWidth="1"/>
    <col min="12" max="12" width="8.109375" customWidth="1"/>
    <col min="13" max="13" width="21.5546875" customWidth="1"/>
    <col min="14" max="14" width="14" customWidth="1"/>
  </cols>
  <sheetData>
    <row r="1" spans="1:33" s="40" customFormat="1" ht="37.5" customHeight="1" x14ac:dyDescent="0.3">
      <c r="A1" s="47" t="s">
        <v>180</v>
      </c>
      <c r="B1" s="47" t="s">
        <v>170</v>
      </c>
      <c r="C1" s="47" t="s">
        <v>174</v>
      </c>
      <c r="D1" s="47" t="s">
        <v>171</v>
      </c>
      <c r="E1" s="47" t="s">
        <v>227</v>
      </c>
      <c r="F1"/>
      <c r="G1" s="86" t="s">
        <v>220</v>
      </c>
      <c r="H1" s="93" t="s">
        <v>223</v>
      </c>
      <c r="I1" s="90" t="s">
        <v>221</v>
      </c>
      <c r="J1" s="50" t="s">
        <v>318</v>
      </c>
      <c r="K1"/>
      <c r="L1" s="82" t="s">
        <v>177</v>
      </c>
      <c r="M1" s="53" t="s">
        <v>176</v>
      </c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</row>
    <row r="2" spans="1:33" s="39" customFormat="1" ht="30.6" x14ac:dyDescent="0.3">
      <c r="A2" s="192" t="s">
        <v>261</v>
      </c>
      <c r="B2" s="195" t="s">
        <v>202</v>
      </c>
      <c r="C2" s="190"/>
      <c r="D2" s="176" t="s">
        <v>265</v>
      </c>
      <c r="E2" s="62" t="s">
        <v>203</v>
      </c>
      <c r="F2"/>
      <c r="G2" s="89" t="s">
        <v>48</v>
      </c>
      <c r="H2" s="183" t="s">
        <v>218</v>
      </c>
      <c r="I2" s="91">
        <v>1</v>
      </c>
      <c r="J2" s="51" t="s">
        <v>198</v>
      </c>
      <c r="K2"/>
      <c r="L2" s="83">
        <v>1</v>
      </c>
      <c r="M2" s="54" t="s">
        <v>178</v>
      </c>
      <c r="N2" s="84" t="s">
        <v>204</v>
      </c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</row>
    <row r="3" spans="1:33" s="39" customFormat="1" ht="39" customHeight="1" x14ac:dyDescent="0.3">
      <c r="A3" s="193"/>
      <c r="B3" s="196"/>
      <c r="C3" s="191"/>
      <c r="D3" s="176" t="s">
        <v>266</v>
      </c>
      <c r="E3" s="62" t="s">
        <v>9</v>
      </c>
      <c r="F3"/>
      <c r="G3" s="89" t="s">
        <v>48</v>
      </c>
      <c r="H3" s="185"/>
      <c r="I3" s="91">
        <v>2</v>
      </c>
      <c r="J3" s="51" t="s">
        <v>183</v>
      </c>
      <c r="K3"/>
      <c r="L3" s="54"/>
      <c r="M3" s="54" t="s">
        <v>210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</row>
    <row r="4" spans="1:33" s="39" customFormat="1" ht="30.6" x14ac:dyDescent="0.3">
      <c r="A4" s="193"/>
      <c r="B4" s="196"/>
      <c r="C4" s="191"/>
      <c r="D4" s="176" t="s">
        <v>267</v>
      </c>
      <c r="E4" s="62" t="s">
        <v>10</v>
      </c>
      <c r="F4"/>
      <c r="G4" s="89" t="s">
        <v>49</v>
      </c>
      <c r="H4" s="183" t="s">
        <v>249</v>
      </c>
      <c r="I4" s="91">
        <v>3</v>
      </c>
      <c r="J4" s="51" t="s">
        <v>226</v>
      </c>
      <c r="K4"/>
      <c r="L4" s="54"/>
      <c r="M4" s="54" t="s">
        <v>211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</row>
    <row r="5" spans="1:33" s="39" customFormat="1" ht="46.8" x14ac:dyDescent="0.3">
      <c r="A5" s="204" t="s">
        <v>262</v>
      </c>
      <c r="B5" s="195" t="s">
        <v>222</v>
      </c>
      <c r="C5" s="200" t="s">
        <v>200</v>
      </c>
      <c r="D5" s="176" t="s">
        <v>268</v>
      </c>
      <c r="E5" s="62" t="s">
        <v>12</v>
      </c>
      <c r="F5"/>
      <c r="G5" s="89" t="s">
        <v>49</v>
      </c>
      <c r="H5" s="184"/>
      <c r="I5" s="91">
        <v>4</v>
      </c>
      <c r="J5" s="51" t="s">
        <v>23</v>
      </c>
      <c r="K5"/>
      <c r="L5" s="54"/>
      <c r="M5" s="54" t="s">
        <v>287</v>
      </c>
      <c r="N5" s="92" t="s">
        <v>330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</row>
    <row r="6" spans="1:33" s="39" customFormat="1" ht="36.6" x14ac:dyDescent="0.3">
      <c r="A6" s="205"/>
      <c r="B6" s="196"/>
      <c r="C6" s="201"/>
      <c r="D6" s="176" t="s">
        <v>269</v>
      </c>
      <c r="E6" s="175" t="s">
        <v>11</v>
      </c>
      <c r="F6"/>
      <c r="G6" s="89" t="s">
        <v>49</v>
      </c>
      <c r="H6" s="184"/>
      <c r="I6" s="91">
        <v>5</v>
      </c>
      <c r="J6" s="51" t="s">
        <v>209</v>
      </c>
      <c r="K6"/>
      <c r="L6" s="54"/>
      <c r="M6" s="54" t="s">
        <v>286</v>
      </c>
      <c r="N6" s="92" t="s">
        <v>329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</row>
    <row r="7" spans="1:33" s="39" customFormat="1" ht="20.25" customHeight="1" x14ac:dyDescent="0.3">
      <c r="A7" s="205"/>
      <c r="B7" s="196"/>
      <c r="C7" s="201"/>
      <c r="D7" s="176" t="s">
        <v>270</v>
      </c>
      <c r="E7" s="175" t="s">
        <v>60</v>
      </c>
      <c r="F7"/>
      <c r="G7" s="89" t="s">
        <v>49</v>
      </c>
      <c r="H7" s="185"/>
      <c r="I7" s="91">
        <v>6</v>
      </c>
      <c r="J7" s="61" t="s">
        <v>212</v>
      </c>
      <c r="K7"/>
      <c r="L7" s="55"/>
      <c r="M7" s="56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</row>
    <row r="8" spans="1:33" s="39" customFormat="1" ht="20.399999999999999" x14ac:dyDescent="0.3">
      <c r="A8" s="206"/>
      <c r="B8" s="203"/>
      <c r="C8" s="202"/>
      <c r="D8" s="176" t="s">
        <v>271</v>
      </c>
      <c r="E8" s="175" t="s">
        <v>201</v>
      </c>
      <c r="F8"/>
      <c r="G8" s="89" t="s">
        <v>52</v>
      </c>
      <c r="H8" s="186" t="s">
        <v>219</v>
      </c>
      <c r="I8" s="91">
        <v>7</v>
      </c>
      <c r="J8" s="51" t="s">
        <v>184</v>
      </c>
      <c r="K8"/>
      <c r="L8" s="55"/>
      <c r="M8" s="56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</row>
    <row r="9" spans="1:33" s="39" customFormat="1" ht="30.6" x14ac:dyDescent="0.3">
      <c r="A9" s="192" t="s">
        <v>263</v>
      </c>
      <c r="B9" s="197" t="s">
        <v>259</v>
      </c>
      <c r="C9" s="192"/>
      <c r="D9" s="78" t="s">
        <v>272</v>
      </c>
      <c r="E9" s="175" t="s">
        <v>326</v>
      </c>
      <c r="F9"/>
      <c r="G9" s="89" t="s">
        <v>52</v>
      </c>
      <c r="H9" s="187"/>
      <c r="I9" s="91">
        <v>8</v>
      </c>
      <c r="J9" s="51" t="s">
        <v>199</v>
      </c>
      <c r="K9"/>
      <c r="L9" s="55"/>
      <c r="M9" s="56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</row>
    <row r="10" spans="1:33" s="39" customFormat="1" ht="30" customHeight="1" x14ac:dyDescent="0.3">
      <c r="A10" s="193"/>
      <c r="B10" s="198"/>
      <c r="C10" s="193"/>
      <c r="D10" s="78" t="s">
        <v>273</v>
      </c>
      <c r="E10" s="175" t="s">
        <v>327</v>
      </c>
      <c r="F10"/>
      <c r="G10" s="89" t="s">
        <v>52</v>
      </c>
      <c r="H10" s="187"/>
      <c r="I10" s="91">
        <v>9</v>
      </c>
      <c r="J10" s="172" t="s">
        <v>316</v>
      </c>
      <c r="K10"/>
      <c r="L10" s="55"/>
      <c r="M10" s="56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</row>
    <row r="11" spans="1:33" s="39" customFormat="1" ht="31.8" x14ac:dyDescent="0.3">
      <c r="A11" s="193"/>
      <c r="B11" s="198"/>
      <c r="C11" s="193"/>
      <c r="D11" s="78" t="s">
        <v>274</v>
      </c>
      <c r="E11" s="175" t="s">
        <v>328</v>
      </c>
      <c r="F11"/>
      <c r="G11" s="89" t="s">
        <v>52</v>
      </c>
      <c r="H11" s="187"/>
      <c r="I11" s="91">
        <v>10</v>
      </c>
      <c r="J11" s="172" t="s">
        <v>216</v>
      </c>
      <c r="K11"/>
      <c r="L11" s="55"/>
      <c r="M11" s="56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</row>
    <row r="12" spans="1:33" s="39" customFormat="1" ht="35.25" customHeight="1" x14ac:dyDescent="0.3">
      <c r="A12" s="193"/>
      <c r="B12" s="198"/>
      <c r="C12" s="193"/>
      <c r="D12" s="78" t="s">
        <v>275</v>
      </c>
      <c r="E12" s="175" t="s">
        <v>172</v>
      </c>
      <c r="F12"/>
      <c r="G12" s="89" t="s">
        <v>52</v>
      </c>
      <c r="H12" s="188"/>
      <c r="I12" s="91">
        <v>11</v>
      </c>
      <c r="J12" s="173" t="s">
        <v>217</v>
      </c>
      <c r="K12"/>
      <c r="L12" s="55"/>
      <c r="M12" s="55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</row>
    <row r="13" spans="1:33" s="39" customFormat="1" ht="21" customHeight="1" x14ac:dyDescent="0.3">
      <c r="A13" s="194"/>
      <c r="B13" s="199"/>
      <c r="C13" s="194"/>
      <c r="D13" s="78" t="s">
        <v>59</v>
      </c>
      <c r="E13" s="62" t="s">
        <v>15</v>
      </c>
      <c r="F13"/>
      <c r="G13" s="89" t="s">
        <v>50</v>
      </c>
      <c r="H13" s="183" t="s">
        <v>2</v>
      </c>
      <c r="I13" s="91">
        <v>12</v>
      </c>
      <c r="J13" s="173" t="s">
        <v>22</v>
      </c>
      <c r="K13"/>
      <c r="L13" s="55"/>
      <c r="M13" s="55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 s="39" customFormat="1" ht="22.8" x14ac:dyDescent="0.3">
      <c r="A14" s="192" t="s">
        <v>264</v>
      </c>
      <c r="B14" s="197" t="s">
        <v>319</v>
      </c>
      <c r="C14" s="192" t="s">
        <v>175</v>
      </c>
      <c r="D14" s="78" t="s">
        <v>276</v>
      </c>
      <c r="E14" s="62" t="s">
        <v>195</v>
      </c>
      <c r="F14"/>
      <c r="G14" s="89" t="s">
        <v>50</v>
      </c>
      <c r="H14" s="189"/>
      <c r="I14" s="91">
        <v>13</v>
      </c>
      <c r="J14" s="173" t="s">
        <v>24</v>
      </c>
      <c r="K14"/>
      <c r="L14" s="55"/>
      <c r="M14" s="55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s="39" customFormat="1" ht="31.5" customHeight="1" x14ac:dyDescent="0.3">
      <c r="A15" s="193"/>
      <c r="B15" s="198"/>
      <c r="C15" s="193"/>
      <c r="D15" s="78" t="s">
        <v>277</v>
      </c>
      <c r="E15" s="62" t="s">
        <v>17</v>
      </c>
      <c r="F15"/>
      <c r="G15" s="89" t="s">
        <v>50</v>
      </c>
      <c r="H15" s="189"/>
      <c r="I15" s="91">
        <v>14</v>
      </c>
      <c r="J15" s="173" t="s">
        <v>260</v>
      </c>
      <c r="K15"/>
      <c r="L15" s="55"/>
      <c r="M15" s="5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s="39" customFormat="1" ht="22.5" customHeight="1" x14ac:dyDescent="0.3">
      <c r="A16" s="193"/>
      <c r="B16" s="198"/>
      <c r="C16" s="193"/>
      <c r="D16" s="78" t="s">
        <v>278</v>
      </c>
      <c r="E16" s="62" t="s">
        <v>18</v>
      </c>
      <c r="F16"/>
      <c r="G16" s="89" t="s">
        <v>50</v>
      </c>
      <c r="H16" s="189"/>
      <c r="I16" s="91">
        <v>15</v>
      </c>
      <c r="J16" s="173" t="s">
        <v>26</v>
      </c>
      <c r="K16"/>
      <c r="L16" s="55"/>
      <c r="M16" s="55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s="39" customFormat="1" ht="30.6" x14ac:dyDescent="0.3">
      <c r="A17" s="193"/>
      <c r="B17" s="198"/>
      <c r="C17" s="193"/>
      <c r="D17" s="78" t="s">
        <v>279</v>
      </c>
      <c r="E17" s="62" t="s">
        <v>16</v>
      </c>
      <c r="F17"/>
      <c r="G17" s="89" t="s">
        <v>50</v>
      </c>
      <c r="H17" s="189"/>
      <c r="I17" s="91">
        <v>16</v>
      </c>
      <c r="J17" s="173" t="s">
        <v>252</v>
      </c>
      <c r="K17"/>
      <c r="L17" s="55"/>
      <c r="M17" s="55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39" customFormat="1" ht="24" customHeight="1" x14ac:dyDescent="0.3">
      <c r="A18" s="193"/>
      <c r="B18" s="198"/>
      <c r="C18" s="193"/>
      <c r="D18" s="78" t="s">
        <v>280</v>
      </c>
      <c r="E18" s="62" t="s">
        <v>224</v>
      </c>
      <c r="F18"/>
      <c r="G18" s="89" t="s">
        <v>50</v>
      </c>
      <c r="H18" s="189"/>
      <c r="I18" s="91">
        <v>17</v>
      </c>
      <c r="J18" s="173" t="s">
        <v>27</v>
      </c>
      <c r="K18"/>
      <c r="L18" s="55"/>
      <c r="M18" s="55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39" customFormat="1" ht="27.75" customHeight="1" x14ac:dyDescent="0.3">
      <c r="A19" s="193"/>
      <c r="B19" s="198"/>
      <c r="C19" s="193"/>
      <c r="D19" s="78" t="s">
        <v>281</v>
      </c>
      <c r="E19" s="62" t="s">
        <v>179</v>
      </c>
      <c r="F19"/>
      <c r="G19" s="89" t="s">
        <v>50</v>
      </c>
      <c r="H19" s="189"/>
      <c r="I19" s="91">
        <v>18</v>
      </c>
      <c r="J19" s="173" t="s">
        <v>28</v>
      </c>
      <c r="K19"/>
      <c r="L19" s="55"/>
      <c r="M19" s="55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39" customFormat="1" ht="22.8" x14ac:dyDescent="0.3">
      <c r="A20" s="193"/>
      <c r="B20" s="198"/>
      <c r="C20" s="193"/>
      <c r="D20" s="78" t="s">
        <v>282</v>
      </c>
      <c r="E20" s="62" t="s">
        <v>320</v>
      </c>
      <c r="F20"/>
      <c r="G20" s="89" t="s">
        <v>50</v>
      </c>
      <c r="H20" s="189"/>
      <c r="I20" s="91">
        <v>19</v>
      </c>
      <c r="J20" s="173" t="s">
        <v>225</v>
      </c>
      <c r="K20"/>
      <c r="L20" s="55"/>
      <c r="M20" s="55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39" customFormat="1" ht="22.8" x14ac:dyDescent="0.3">
      <c r="A21" s="193"/>
      <c r="B21" s="198"/>
      <c r="C21" s="193"/>
      <c r="D21" s="78" t="s">
        <v>283</v>
      </c>
      <c r="E21" s="62" t="s">
        <v>19</v>
      </c>
      <c r="F21"/>
      <c r="G21" s="89" t="s">
        <v>50</v>
      </c>
      <c r="H21" s="189"/>
      <c r="I21" s="91">
        <v>20</v>
      </c>
      <c r="J21" s="174" t="s">
        <v>213</v>
      </c>
      <c r="K21"/>
      <c r="L21" s="55"/>
      <c r="M21" s="55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39" customFormat="1" ht="25.8" x14ac:dyDescent="0.3">
      <c r="A22" s="193"/>
      <c r="B22" s="198"/>
      <c r="C22" s="193"/>
      <c r="D22" s="78" t="s">
        <v>284</v>
      </c>
      <c r="E22" s="62" t="s">
        <v>20</v>
      </c>
      <c r="F22"/>
      <c r="G22" s="89" t="s">
        <v>51</v>
      </c>
      <c r="H22" s="183" t="s">
        <v>3</v>
      </c>
      <c r="I22" s="91">
        <v>21</v>
      </c>
      <c r="J22" s="173" t="s">
        <v>324</v>
      </c>
      <c r="K22"/>
      <c r="L22" s="55"/>
      <c r="M22" s="55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39" customFormat="1" ht="28.2" x14ac:dyDescent="0.3">
      <c r="A23" s="194"/>
      <c r="B23" s="199"/>
      <c r="C23" s="194"/>
      <c r="D23" s="78" t="s">
        <v>285</v>
      </c>
      <c r="E23" s="62" t="s">
        <v>185</v>
      </c>
      <c r="F23"/>
      <c r="G23" s="89" t="s">
        <v>51</v>
      </c>
      <c r="H23" s="184"/>
      <c r="I23" s="91">
        <v>22</v>
      </c>
      <c r="J23" s="173" t="s">
        <v>325</v>
      </c>
      <c r="K23"/>
      <c r="L23" s="55"/>
      <c r="M23" s="55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39" customFormat="1" ht="20.399999999999999" x14ac:dyDescent="0.3">
      <c r="A24" s="210" t="s">
        <v>340</v>
      </c>
      <c r="B24" s="212" t="s">
        <v>341</v>
      </c>
      <c r="C24" s="215"/>
      <c r="D24" s="78" t="s">
        <v>342</v>
      </c>
      <c r="E24" s="211" t="s">
        <v>344</v>
      </c>
      <c r="F24"/>
      <c r="G24" s="89" t="s">
        <v>51</v>
      </c>
      <c r="H24" s="184"/>
      <c r="I24" s="91">
        <v>23</v>
      </c>
      <c r="J24" s="173" t="s">
        <v>207</v>
      </c>
      <c r="L24" s="55"/>
      <c r="M24" s="55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ht="20.399999999999999" x14ac:dyDescent="0.3">
      <c r="A25" s="210"/>
      <c r="B25" s="212"/>
      <c r="C25" s="216"/>
      <c r="D25" s="78" t="s">
        <v>343</v>
      </c>
      <c r="E25" s="211" t="s">
        <v>345</v>
      </c>
      <c r="G25" s="89" t="s">
        <v>51</v>
      </c>
      <c r="H25" s="184"/>
      <c r="I25" s="91">
        <v>24</v>
      </c>
      <c r="J25" s="173" t="s">
        <v>208</v>
      </c>
      <c r="K25" s="39"/>
      <c r="L25" s="55"/>
      <c r="M25" s="55"/>
    </row>
    <row r="26" spans="1:33" x14ac:dyDescent="0.3">
      <c r="A26" s="213"/>
      <c r="B26" s="48"/>
      <c r="C26" s="48"/>
      <c r="D26" s="79"/>
      <c r="E26" s="63"/>
      <c r="G26" s="89" t="s">
        <v>51</v>
      </c>
      <c r="H26" s="184"/>
      <c r="I26" s="91">
        <v>25</v>
      </c>
      <c r="J26" s="173" t="s">
        <v>317</v>
      </c>
      <c r="L26" s="55"/>
      <c r="M26" s="55"/>
    </row>
    <row r="27" spans="1:33" ht="20.399999999999999" x14ac:dyDescent="0.3">
      <c r="A27" s="214"/>
      <c r="B27" s="48"/>
      <c r="C27" s="48"/>
      <c r="D27" s="79"/>
      <c r="E27" s="63"/>
      <c r="G27" s="89" t="s">
        <v>51</v>
      </c>
      <c r="H27" s="185"/>
      <c r="I27" s="91">
        <v>26</v>
      </c>
      <c r="J27" s="172" t="s">
        <v>239</v>
      </c>
      <c r="L27" s="55"/>
      <c r="M27" s="55"/>
    </row>
    <row r="28" spans="1:33" x14ac:dyDescent="0.3">
      <c r="A28" s="214"/>
      <c r="B28" s="48"/>
      <c r="C28" s="48"/>
      <c r="D28" s="79"/>
      <c r="E28" s="63"/>
      <c r="G28" s="10"/>
      <c r="H28" s="49"/>
      <c r="I28" s="88"/>
      <c r="J28" s="52"/>
      <c r="L28" s="55"/>
      <c r="M28" s="55"/>
    </row>
    <row r="29" spans="1:33" x14ac:dyDescent="0.3">
      <c r="A29" s="214"/>
      <c r="B29" s="48"/>
      <c r="C29" s="48"/>
      <c r="D29" s="79"/>
      <c r="E29" s="63"/>
      <c r="G29" s="10"/>
      <c r="H29" s="49"/>
      <c r="I29" s="88"/>
      <c r="J29" s="52"/>
      <c r="L29" s="55"/>
      <c r="M29" s="55"/>
    </row>
    <row r="30" spans="1:33" x14ac:dyDescent="0.3">
      <c r="A30" s="214"/>
      <c r="B30" s="48"/>
      <c r="C30" s="48"/>
      <c r="D30" s="79"/>
      <c r="E30" s="63"/>
      <c r="G30" s="87"/>
      <c r="H30" s="49"/>
      <c r="I30" s="88"/>
      <c r="J30" s="52"/>
      <c r="L30" s="55"/>
      <c r="M30" s="55"/>
    </row>
    <row r="31" spans="1:33" x14ac:dyDescent="0.3">
      <c r="A31" s="214"/>
      <c r="B31" s="48"/>
      <c r="C31" s="48"/>
      <c r="D31" s="79"/>
      <c r="E31" s="63"/>
      <c r="F31" s="76"/>
      <c r="G31" s="10"/>
      <c r="H31" s="49"/>
      <c r="I31" s="88"/>
      <c r="J31" s="52"/>
      <c r="L31" s="55"/>
      <c r="M31" s="55"/>
    </row>
    <row r="32" spans="1:33" ht="21" customHeight="1" x14ac:dyDescent="0.3">
      <c r="A32" s="214"/>
      <c r="B32" s="48"/>
      <c r="C32" s="48"/>
      <c r="D32" s="79"/>
      <c r="E32" s="63"/>
      <c r="G32" s="10"/>
      <c r="H32" s="49"/>
      <c r="I32" s="88"/>
      <c r="J32" s="52"/>
      <c r="L32" s="55"/>
      <c r="M32" s="55"/>
    </row>
    <row r="33" spans="1:13" x14ac:dyDescent="0.3">
      <c r="A33" s="214"/>
      <c r="B33" s="48"/>
      <c r="C33" s="48"/>
      <c r="D33" s="79"/>
      <c r="E33" s="63"/>
      <c r="G33" s="10"/>
      <c r="H33" s="49"/>
      <c r="I33" s="88"/>
      <c r="J33" s="52"/>
      <c r="L33" s="55"/>
      <c r="M33" s="55"/>
    </row>
    <row r="34" spans="1:13" ht="37.5" customHeight="1" x14ac:dyDescent="0.3"/>
    <row r="35" spans="1:13" ht="23.25" customHeight="1" x14ac:dyDescent="0.3"/>
    <row r="36" spans="1:13" ht="21" customHeight="1" x14ac:dyDescent="0.3"/>
    <row r="37" spans="1:13" ht="21" customHeight="1" x14ac:dyDescent="0.3"/>
    <row r="38" spans="1:13" ht="63" customHeight="1" x14ac:dyDescent="0.3"/>
  </sheetData>
  <mergeCells count="20">
    <mergeCell ref="A24:A25"/>
    <mergeCell ref="B24:B25"/>
    <mergeCell ref="C24:C25"/>
    <mergeCell ref="C2:C4"/>
    <mergeCell ref="C9:C13"/>
    <mergeCell ref="C14:C23"/>
    <mergeCell ref="A2:A4"/>
    <mergeCell ref="B2:B4"/>
    <mergeCell ref="A9:A13"/>
    <mergeCell ref="B9:B13"/>
    <mergeCell ref="C5:C8"/>
    <mergeCell ref="B5:B8"/>
    <mergeCell ref="A5:A8"/>
    <mergeCell ref="A14:A23"/>
    <mergeCell ref="B14:B23"/>
    <mergeCell ref="H4:H7"/>
    <mergeCell ref="H8:H12"/>
    <mergeCell ref="H22:H27"/>
    <mergeCell ref="H2:H3"/>
    <mergeCell ref="H13:H21"/>
  </mergeCells>
  <pageMargins left="0.39370078740157483" right="0.39370078740157483" top="0.74803149606299213" bottom="0.74803149606299213" header="0.31496062992125984" footer="0.31496062992125984"/>
  <pageSetup paperSize="8" scale="81" fitToWidth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51"/>
  <sheetViews>
    <sheetView zoomScale="70" zoomScaleNormal="70" workbookViewId="0">
      <pane xSplit="4" ySplit="2" topLeftCell="I30" activePane="bottomRight" state="frozen"/>
      <selection pane="topRight" activeCell="E1" sqref="E1"/>
      <selection pane="bottomLeft" activeCell="A3" sqref="A3"/>
      <selection pane="bottomRight" activeCell="Z39" sqref="Z39"/>
    </sheetView>
  </sheetViews>
  <sheetFormatPr defaultRowHeight="14.4" x14ac:dyDescent="0.3"/>
  <cols>
    <col min="1" max="1" width="11.6640625" customWidth="1"/>
    <col min="2" max="2" width="12.6640625" customWidth="1"/>
    <col min="3" max="3" width="6.44140625" customWidth="1"/>
    <col min="4" max="4" width="24.88671875" customWidth="1"/>
    <col min="5" max="5" width="15" customWidth="1"/>
    <col min="6" max="6" width="9.44140625" bestFit="1" customWidth="1"/>
    <col min="7" max="7" width="12.33203125" customWidth="1"/>
    <col min="8" max="9" width="9.6640625" bestFit="1" customWidth="1"/>
    <col min="10" max="11" width="11.6640625" bestFit="1" customWidth="1"/>
    <col min="12" max="12" width="11" customWidth="1"/>
    <col min="13" max="13" width="12.44140625" bestFit="1" customWidth="1"/>
    <col min="14" max="16" width="10.6640625" bestFit="1" customWidth="1"/>
    <col min="17" max="17" width="11.6640625" bestFit="1" customWidth="1"/>
    <col min="18" max="19" width="11.6640625" customWidth="1"/>
    <col min="20" max="20" width="12.44140625" bestFit="1" customWidth="1"/>
    <col min="21" max="21" width="11.109375" customWidth="1"/>
    <col min="22" max="22" width="10.109375" bestFit="1" customWidth="1"/>
    <col min="23" max="27" width="10.6640625" bestFit="1" customWidth="1"/>
    <col min="28" max="28" width="12.44140625" bestFit="1" customWidth="1"/>
  </cols>
  <sheetData>
    <row r="1" spans="1:29" ht="109.5" customHeight="1" x14ac:dyDescent="0.3">
      <c r="A1" s="95" t="s">
        <v>187</v>
      </c>
      <c r="B1" s="77" t="s">
        <v>186</v>
      </c>
      <c r="C1" s="77" t="s">
        <v>120</v>
      </c>
      <c r="D1" s="77" t="s">
        <v>121</v>
      </c>
      <c r="E1" s="103" t="s">
        <v>293</v>
      </c>
      <c r="F1" s="163" t="s">
        <v>240</v>
      </c>
      <c r="G1" s="164" t="s">
        <v>228</v>
      </c>
      <c r="H1" s="164" t="s">
        <v>229</v>
      </c>
      <c r="I1" s="164" t="s">
        <v>248</v>
      </c>
      <c r="J1" s="165" t="s">
        <v>241</v>
      </c>
      <c r="K1" s="165" t="s">
        <v>230</v>
      </c>
      <c r="L1" s="165" t="s">
        <v>231</v>
      </c>
      <c r="M1" s="164" t="s">
        <v>232</v>
      </c>
      <c r="N1" s="164" t="s">
        <v>233</v>
      </c>
      <c r="O1" s="164" t="s">
        <v>321</v>
      </c>
      <c r="P1" s="163" t="s">
        <v>234</v>
      </c>
      <c r="Q1" s="164" t="s">
        <v>235</v>
      </c>
      <c r="R1" s="164" t="s">
        <v>337</v>
      </c>
      <c r="S1" s="164" t="s">
        <v>338</v>
      </c>
      <c r="T1" s="96" t="s">
        <v>37</v>
      </c>
      <c r="U1" s="32"/>
      <c r="V1" s="109" t="s">
        <v>53</v>
      </c>
      <c r="W1" s="109" t="s">
        <v>54</v>
      </c>
      <c r="X1" s="109" t="s">
        <v>55</v>
      </c>
      <c r="Y1" s="109" t="s">
        <v>56</v>
      </c>
      <c r="Z1" s="109" t="s">
        <v>57</v>
      </c>
      <c r="AA1" s="109" t="s">
        <v>58</v>
      </c>
      <c r="AB1" s="109" t="s">
        <v>37</v>
      </c>
      <c r="AC1" s="32"/>
    </row>
    <row r="2" spans="1:29" x14ac:dyDescent="0.3">
      <c r="A2" s="21"/>
      <c r="B2" s="21"/>
      <c r="C2" s="22"/>
      <c r="D2" s="2"/>
      <c r="E2" s="10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9"/>
      <c r="U2" s="9"/>
      <c r="V2" s="12"/>
      <c r="W2" s="12"/>
      <c r="X2" s="12"/>
      <c r="Y2" s="12"/>
      <c r="Z2" s="12"/>
      <c r="AA2" s="12"/>
      <c r="AB2" s="12"/>
      <c r="AC2" s="1"/>
    </row>
    <row r="3" spans="1:29" ht="30" customHeight="1" x14ac:dyDescent="0.3">
      <c r="A3" s="57" t="s">
        <v>154</v>
      </c>
      <c r="B3" s="58" t="s">
        <v>122</v>
      </c>
      <c r="C3" s="23">
        <v>1</v>
      </c>
      <c r="D3" s="5" t="s">
        <v>198</v>
      </c>
      <c r="E3" s="94"/>
      <c r="F3" s="26">
        <v>1000</v>
      </c>
      <c r="G3" s="26">
        <f>40*2*5</f>
        <v>400</v>
      </c>
      <c r="H3" s="26">
        <f>5*40</f>
        <v>200</v>
      </c>
      <c r="I3" s="26">
        <f>40*2*5</f>
        <v>400</v>
      </c>
      <c r="J3" s="26"/>
      <c r="K3" s="26"/>
      <c r="L3" s="26"/>
      <c r="M3" s="26"/>
      <c r="N3" s="26">
        <f>40*30</f>
        <v>1200</v>
      </c>
      <c r="O3" s="26"/>
      <c r="P3" s="26">
        <f>25*40*2</f>
        <v>2000</v>
      </c>
      <c r="Q3" s="26"/>
      <c r="R3" s="26"/>
      <c r="S3" s="26"/>
      <c r="T3" s="27">
        <f>SUM(F3:S3)</f>
        <v>5200</v>
      </c>
      <c r="U3" s="27"/>
      <c r="V3" s="30">
        <f>4800/6</f>
        <v>800</v>
      </c>
      <c r="W3" s="30">
        <f t="shared" ref="W3:AA3" si="0">4800/6</f>
        <v>800</v>
      </c>
      <c r="X3" s="30">
        <v>1000</v>
      </c>
      <c r="Y3" s="30">
        <v>1000</v>
      </c>
      <c r="Z3" s="30">
        <f t="shared" si="0"/>
        <v>800</v>
      </c>
      <c r="AA3" s="30">
        <f t="shared" si="0"/>
        <v>800</v>
      </c>
      <c r="AB3" s="30">
        <f>SUM(V3:AA3)</f>
        <v>5200</v>
      </c>
      <c r="AC3" s="1"/>
    </row>
    <row r="4" spans="1:29" ht="30" customHeight="1" x14ac:dyDescent="0.3">
      <c r="A4" s="57" t="s">
        <v>48</v>
      </c>
      <c r="B4" s="58" t="s">
        <v>122</v>
      </c>
      <c r="C4" s="23">
        <v>2</v>
      </c>
      <c r="D4" s="5" t="s">
        <v>183</v>
      </c>
      <c r="E4" s="94"/>
      <c r="F4" s="26">
        <v>3500</v>
      </c>
      <c r="G4" s="26">
        <f>3000*5</f>
        <v>15000</v>
      </c>
      <c r="H4" s="26">
        <v>6000</v>
      </c>
      <c r="I4" s="26">
        <v>1000</v>
      </c>
      <c r="J4" s="26"/>
      <c r="K4" s="26"/>
      <c r="L4" s="26"/>
      <c r="M4" s="26"/>
      <c r="N4" s="26"/>
      <c r="O4" s="26"/>
      <c r="P4" s="26"/>
      <c r="Q4" s="26"/>
      <c r="R4" s="26"/>
      <c r="S4" s="26"/>
      <c r="T4" s="27">
        <f t="shared" ref="T4:T28" si="1">SUM(F4:S4)</f>
        <v>25500</v>
      </c>
      <c r="U4" s="27"/>
      <c r="V4" s="12">
        <f>25500/6</f>
        <v>4250</v>
      </c>
      <c r="W4" s="12">
        <f t="shared" ref="W4:AA4" si="2">25500/6</f>
        <v>4250</v>
      </c>
      <c r="X4" s="12">
        <f t="shared" si="2"/>
        <v>4250</v>
      </c>
      <c r="Y4" s="12">
        <f t="shared" si="2"/>
        <v>4250</v>
      </c>
      <c r="Z4" s="12">
        <f t="shared" si="2"/>
        <v>4250</v>
      </c>
      <c r="AA4" s="12">
        <f t="shared" si="2"/>
        <v>4250</v>
      </c>
      <c r="AB4" s="30">
        <f t="shared" ref="AB4:AB28" si="3">SUM(V4:AA4)</f>
        <v>25500</v>
      </c>
      <c r="AC4" s="1"/>
    </row>
    <row r="5" spans="1:29" ht="57.6" x14ac:dyDescent="0.3">
      <c r="A5" s="57" t="s">
        <v>49</v>
      </c>
      <c r="B5" s="58" t="s">
        <v>123</v>
      </c>
      <c r="C5" s="23">
        <v>3</v>
      </c>
      <c r="D5" s="5" t="s">
        <v>226</v>
      </c>
      <c r="E5" s="94"/>
      <c r="F5" s="26">
        <v>5000</v>
      </c>
      <c r="G5" s="26">
        <v>10000</v>
      </c>
      <c r="H5" s="26"/>
      <c r="I5" s="26"/>
      <c r="J5" s="26"/>
      <c r="K5" s="26"/>
      <c r="L5" s="26">
        <v>10000</v>
      </c>
      <c r="M5" s="26"/>
      <c r="N5" s="26">
        <v>10000</v>
      </c>
      <c r="O5" s="26"/>
      <c r="P5" s="26"/>
      <c r="Q5" s="26"/>
      <c r="R5" s="26"/>
      <c r="S5" s="26"/>
      <c r="T5" s="27">
        <f t="shared" si="1"/>
        <v>35000</v>
      </c>
      <c r="U5" s="27"/>
      <c r="V5" s="12"/>
      <c r="W5" s="12">
        <v>10000</v>
      </c>
      <c r="X5" s="12"/>
      <c r="Y5" s="12"/>
      <c r="Z5" s="12">
        <v>25000</v>
      </c>
      <c r="AA5" s="12"/>
      <c r="AB5" s="30">
        <f t="shared" si="3"/>
        <v>35000</v>
      </c>
      <c r="AC5" s="1"/>
    </row>
    <row r="6" spans="1:29" ht="30" customHeight="1" x14ac:dyDescent="0.3">
      <c r="A6" s="57" t="s">
        <v>49</v>
      </c>
      <c r="B6" s="58" t="s">
        <v>123</v>
      </c>
      <c r="C6" s="23">
        <v>4</v>
      </c>
      <c r="D6" s="5" t="s">
        <v>23</v>
      </c>
      <c r="E6" s="94"/>
      <c r="F6" s="26">
        <v>12000</v>
      </c>
      <c r="G6" s="26"/>
      <c r="H6" s="26"/>
      <c r="I6" s="26">
        <v>5000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7">
        <f t="shared" si="1"/>
        <v>17000</v>
      </c>
      <c r="U6" s="27"/>
      <c r="V6" s="12"/>
      <c r="W6" s="12">
        <v>1000</v>
      </c>
      <c r="X6" s="12">
        <v>3000</v>
      </c>
      <c r="Y6" s="12">
        <v>1500</v>
      </c>
      <c r="Z6" s="12">
        <v>5000</v>
      </c>
      <c r="AA6" s="12">
        <v>6500</v>
      </c>
      <c r="AB6" s="30">
        <f t="shared" si="3"/>
        <v>17000</v>
      </c>
      <c r="AC6" s="1"/>
    </row>
    <row r="7" spans="1:29" ht="51" customHeight="1" x14ac:dyDescent="0.3">
      <c r="A7" s="57" t="s">
        <v>49</v>
      </c>
      <c r="B7" s="58" t="s">
        <v>123</v>
      </c>
      <c r="C7" s="23">
        <v>5</v>
      </c>
      <c r="D7" s="5" t="s">
        <v>209</v>
      </c>
      <c r="E7" s="11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7">
        <f t="shared" si="1"/>
        <v>0</v>
      </c>
      <c r="U7" s="9"/>
      <c r="V7" s="30"/>
      <c r="W7" s="30"/>
      <c r="X7" s="30"/>
      <c r="Y7" s="30"/>
      <c r="Z7" s="30"/>
      <c r="AA7" s="30"/>
      <c r="AB7" s="30">
        <f t="shared" si="3"/>
        <v>0</v>
      </c>
      <c r="AC7" s="1"/>
    </row>
    <row r="8" spans="1:29" ht="51" customHeight="1" x14ac:dyDescent="0.3">
      <c r="A8" s="57" t="s">
        <v>49</v>
      </c>
      <c r="B8" s="58" t="s">
        <v>123</v>
      </c>
      <c r="C8" s="23">
        <v>6</v>
      </c>
      <c r="D8" s="5" t="s">
        <v>212</v>
      </c>
      <c r="E8" s="11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>
        <f t="shared" si="1"/>
        <v>0</v>
      </c>
      <c r="U8" s="9"/>
      <c r="V8" s="30"/>
      <c r="W8" s="30"/>
      <c r="X8" s="30"/>
      <c r="Y8" s="30"/>
      <c r="Z8" s="30"/>
      <c r="AA8" s="30"/>
      <c r="AB8" s="30">
        <f t="shared" si="3"/>
        <v>0</v>
      </c>
      <c r="AC8" s="1"/>
    </row>
    <row r="9" spans="1:29" ht="53.25" customHeight="1" x14ac:dyDescent="0.3">
      <c r="A9" s="57" t="s">
        <v>52</v>
      </c>
      <c r="B9" s="58" t="s">
        <v>124</v>
      </c>
      <c r="C9" s="23">
        <v>7</v>
      </c>
      <c r="D9" s="5" t="s">
        <v>29</v>
      </c>
      <c r="E9" s="94"/>
      <c r="F9" s="26"/>
      <c r="G9" s="26"/>
      <c r="H9" s="26"/>
      <c r="I9" s="26"/>
      <c r="J9" s="26"/>
      <c r="K9" s="26"/>
      <c r="L9" s="26">
        <v>19000</v>
      </c>
      <c r="M9" s="26"/>
      <c r="N9" s="26"/>
      <c r="O9" s="26"/>
      <c r="P9" s="26"/>
      <c r="Q9" s="26"/>
      <c r="R9" s="26"/>
      <c r="S9" s="26"/>
      <c r="T9" s="27">
        <f t="shared" si="1"/>
        <v>19000</v>
      </c>
      <c r="U9" s="27"/>
      <c r="V9" s="12"/>
      <c r="W9" s="12"/>
      <c r="X9" s="12">
        <f>19000*0.25</f>
        <v>4750</v>
      </c>
      <c r="Y9" s="12">
        <f>19000*0.25</f>
        <v>4750</v>
      </c>
      <c r="Z9" s="12">
        <f>19000*0.25</f>
        <v>4750</v>
      </c>
      <c r="AA9" s="12">
        <f>19000*0.25</f>
        <v>4750</v>
      </c>
      <c r="AB9" s="30">
        <f t="shared" si="3"/>
        <v>19000</v>
      </c>
      <c r="AC9" s="1"/>
    </row>
    <row r="10" spans="1:29" ht="54" customHeight="1" x14ac:dyDescent="0.3">
      <c r="A10" s="57" t="s">
        <v>52</v>
      </c>
      <c r="B10" s="58" t="s">
        <v>124</v>
      </c>
      <c r="C10" s="23">
        <v>8</v>
      </c>
      <c r="D10" s="5" t="s">
        <v>31</v>
      </c>
      <c r="E10" s="94"/>
      <c r="F10" s="26"/>
      <c r="G10" s="26">
        <f>2600*5+4000</f>
        <v>17000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>
        <f t="shared" si="1"/>
        <v>17000</v>
      </c>
      <c r="U10" s="27"/>
      <c r="V10" s="12">
        <v>2500</v>
      </c>
      <c r="W10" s="12">
        <v>2900</v>
      </c>
      <c r="X10" s="12">
        <v>2900</v>
      </c>
      <c r="Y10" s="12">
        <v>2900</v>
      </c>
      <c r="Z10" s="12">
        <v>2900</v>
      </c>
      <c r="AA10" s="12">
        <v>2900</v>
      </c>
      <c r="AB10" s="30">
        <f t="shared" si="3"/>
        <v>17000</v>
      </c>
      <c r="AC10" s="1"/>
    </row>
    <row r="11" spans="1:29" ht="54" customHeight="1" x14ac:dyDescent="0.3">
      <c r="A11" s="57" t="s">
        <v>52</v>
      </c>
      <c r="B11" s="58" t="s">
        <v>124</v>
      </c>
      <c r="C11" s="23">
        <v>9</v>
      </c>
      <c r="D11" s="5" t="s">
        <v>316</v>
      </c>
      <c r="E11" s="94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7">
        <f t="shared" si="1"/>
        <v>0</v>
      </c>
      <c r="U11" s="27"/>
      <c r="V11" s="12"/>
      <c r="W11" s="12"/>
      <c r="X11" s="12"/>
      <c r="Y11" s="12"/>
      <c r="Z11" s="12"/>
      <c r="AA11" s="12"/>
      <c r="AB11" s="30">
        <f t="shared" si="3"/>
        <v>0</v>
      </c>
      <c r="AC11" s="1"/>
    </row>
    <row r="12" spans="1:29" ht="58.5" customHeight="1" x14ac:dyDescent="0.3">
      <c r="A12" s="57" t="s">
        <v>52</v>
      </c>
      <c r="B12" s="58" t="s">
        <v>124</v>
      </c>
      <c r="C12" s="23">
        <v>10</v>
      </c>
      <c r="D12" s="5" t="s">
        <v>216</v>
      </c>
      <c r="E12" s="11"/>
      <c r="F12" s="26"/>
      <c r="G12" s="26"/>
      <c r="H12" s="26"/>
      <c r="I12" s="26"/>
      <c r="J12" s="26"/>
      <c r="K12" s="26"/>
      <c r="L12" s="26"/>
      <c r="M12" s="26"/>
      <c r="N12" s="26"/>
      <c r="O12" s="166"/>
      <c r="P12" s="26"/>
      <c r="Q12" s="26"/>
      <c r="R12" s="26"/>
      <c r="S12" s="26"/>
      <c r="T12" s="27">
        <f t="shared" si="1"/>
        <v>0</v>
      </c>
      <c r="U12" s="9"/>
      <c r="V12" s="30"/>
      <c r="W12" s="30"/>
      <c r="X12" s="30"/>
      <c r="Y12" s="30"/>
      <c r="Z12" s="30"/>
      <c r="AA12" s="30"/>
      <c r="AB12" s="30">
        <f t="shared" si="3"/>
        <v>0</v>
      </c>
      <c r="AC12" s="1"/>
    </row>
    <row r="13" spans="1:29" ht="53.25" customHeight="1" x14ac:dyDescent="0.3">
      <c r="A13" s="57" t="s">
        <v>52</v>
      </c>
      <c r="B13" s="58" t="s">
        <v>124</v>
      </c>
      <c r="C13" s="23">
        <v>11</v>
      </c>
      <c r="D13" s="5" t="s">
        <v>217</v>
      </c>
      <c r="E13" s="94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7">
        <f t="shared" si="1"/>
        <v>0</v>
      </c>
      <c r="U13" s="27"/>
      <c r="V13" s="12"/>
      <c r="W13" s="12"/>
      <c r="X13" s="12"/>
      <c r="Y13" s="12"/>
      <c r="Z13" s="12"/>
      <c r="AA13" s="12"/>
      <c r="AB13" s="30">
        <f t="shared" si="3"/>
        <v>0</v>
      </c>
      <c r="AC13" s="1"/>
    </row>
    <row r="14" spans="1:29" ht="51.75" customHeight="1" x14ac:dyDescent="0.3">
      <c r="A14" s="57" t="s">
        <v>50</v>
      </c>
      <c r="B14" s="59" t="s">
        <v>125</v>
      </c>
      <c r="C14" s="23">
        <v>12</v>
      </c>
      <c r="D14" s="5" t="s">
        <v>22</v>
      </c>
      <c r="E14" s="94"/>
      <c r="F14" s="26"/>
      <c r="G14" s="26"/>
      <c r="H14" s="26">
        <f>5*0.15*5000</f>
        <v>3750</v>
      </c>
      <c r="I14" s="26"/>
      <c r="J14" s="26">
        <f>0.15*4*3000</f>
        <v>1800</v>
      </c>
      <c r="K14" s="26"/>
      <c r="L14" s="26">
        <f>1200*0.15*5</f>
        <v>900</v>
      </c>
      <c r="M14" s="26"/>
      <c r="N14" s="26">
        <f>2000*2*0.15</f>
        <v>600</v>
      </c>
      <c r="O14" s="26"/>
      <c r="P14" s="26">
        <f>2000*0.15*3</f>
        <v>900</v>
      </c>
      <c r="Q14" s="26">
        <f>3*0.15*3000</f>
        <v>1349.9999999999998</v>
      </c>
      <c r="R14" s="26"/>
      <c r="S14" s="26"/>
      <c r="T14" s="27">
        <f t="shared" si="1"/>
        <v>9300</v>
      </c>
      <c r="U14" s="27"/>
      <c r="V14" s="12">
        <v>500</v>
      </c>
      <c r="W14" s="12">
        <v>2000</v>
      </c>
      <c r="X14" s="12">
        <v>2000</v>
      </c>
      <c r="Y14" s="12">
        <v>2000</v>
      </c>
      <c r="Z14" s="12">
        <v>2000</v>
      </c>
      <c r="AA14" s="12">
        <v>800</v>
      </c>
      <c r="AB14" s="30">
        <f t="shared" si="3"/>
        <v>9300</v>
      </c>
      <c r="AC14" s="1"/>
    </row>
    <row r="15" spans="1:29" ht="30" customHeight="1" x14ac:dyDescent="0.3">
      <c r="A15" s="57" t="s">
        <v>50</v>
      </c>
      <c r="B15" s="59" t="s">
        <v>125</v>
      </c>
      <c r="C15" s="23">
        <v>13</v>
      </c>
      <c r="D15" s="5" t="s">
        <v>24</v>
      </c>
      <c r="E15" s="94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7">
        <f t="shared" si="1"/>
        <v>0</v>
      </c>
      <c r="U15" s="27"/>
      <c r="V15" s="30"/>
      <c r="W15" s="30"/>
      <c r="X15" s="30"/>
      <c r="Y15" s="30"/>
      <c r="Z15" s="30"/>
      <c r="AA15" s="30"/>
      <c r="AB15" s="30">
        <f t="shared" si="3"/>
        <v>0</v>
      </c>
      <c r="AC15" s="1"/>
    </row>
    <row r="16" spans="1:29" ht="43.2" x14ac:dyDescent="0.3">
      <c r="A16" s="57" t="s">
        <v>50</v>
      </c>
      <c r="B16" s="59" t="s">
        <v>125</v>
      </c>
      <c r="C16" s="23">
        <v>14</v>
      </c>
      <c r="D16" s="5" t="s">
        <v>25</v>
      </c>
      <c r="E16" s="94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>
        <f t="shared" si="1"/>
        <v>0</v>
      </c>
      <c r="U16" s="27"/>
      <c r="V16" s="12"/>
      <c r="W16" s="12"/>
      <c r="X16" s="12"/>
      <c r="Y16" s="12"/>
      <c r="Z16" s="12"/>
      <c r="AA16" s="12"/>
      <c r="AB16" s="30">
        <f t="shared" si="3"/>
        <v>0</v>
      </c>
      <c r="AC16" s="1"/>
    </row>
    <row r="17" spans="1:29" ht="30" customHeight="1" x14ac:dyDescent="0.3">
      <c r="A17" s="57" t="s">
        <v>50</v>
      </c>
      <c r="B17" s="59" t="s">
        <v>125</v>
      </c>
      <c r="C17" s="23">
        <v>15</v>
      </c>
      <c r="D17" s="5" t="s">
        <v>26</v>
      </c>
      <c r="E17" s="94">
        <v>2000</v>
      </c>
      <c r="F17" s="26"/>
      <c r="G17" s="26"/>
      <c r="H17" s="26"/>
      <c r="I17" s="26"/>
      <c r="J17" s="26">
        <v>700</v>
      </c>
      <c r="K17" s="26"/>
      <c r="L17" s="26"/>
      <c r="M17" s="26"/>
      <c r="N17" s="26"/>
      <c r="O17" s="26"/>
      <c r="P17" s="26">
        <v>700</v>
      </c>
      <c r="Q17" s="26">
        <v>600</v>
      </c>
      <c r="R17" s="26"/>
      <c r="S17" s="26"/>
      <c r="T17" s="27">
        <f t="shared" si="1"/>
        <v>2000</v>
      </c>
      <c r="U17" s="27"/>
      <c r="V17" s="12"/>
      <c r="W17" s="12">
        <v>700</v>
      </c>
      <c r="X17" s="12"/>
      <c r="Y17" s="12">
        <v>1300</v>
      </c>
      <c r="Z17" s="12"/>
      <c r="AA17" s="12"/>
      <c r="AB17" s="30">
        <f t="shared" si="3"/>
        <v>2000</v>
      </c>
      <c r="AC17" s="1"/>
    </row>
    <row r="18" spans="1:29" ht="30" customHeight="1" x14ac:dyDescent="0.3">
      <c r="A18" s="57" t="s">
        <v>50</v>
      </c>
      <c r="B18" s="59" t="s">
        <v>125</v>
      </c>
      <c r="C18" s="23">
        <v>16</v>
      </c>
      <c r="D18" s="5" t="s">
        <v>253</v>
      </c>
      <c r="E18" s="94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80">
        <v>40000</v>
      </c>
      <c r="Q18" s="80">
        <v>45000</v>
      </c>
      <c r="R18" s="80"/>
      <c r="S18" s="80"/>
      <c r="T18" s="27">
        <f t="shared" si="1"/>
        <v>85000</v>
      </c>
      <c r="U18" s="27"/>
      <c r="V18" s="12"/>
      <c r="W18" s="12">
        <v>40000</v>
      </c>
      <c r="X18" s="12">
        <f>45000*0.3</f>
        <v>13500</v>
      </c>
      <c r="Y18" s="12">
        <f>45000*0.7</f>
        <v>31499.999999999996</v>
      </c>
      <c r="Z18" s="12"/>
      <c r="AA18" s="12"/>
      <c r="AB18" s="30">
        <f t="shared" si="3"/>
        <v>85000</v>
      </c>
      <c r="AC18" s="1"/>
    </row>
    <row r="19" spans="1:29" ht="30" customHeight="1" x14ac:dyDescent="0.3">
      <c r="A19" s="57" t="s">
        <v>50</v>
      </c>
      <c r="B19" s="59" t="s">
        <v>125</v>
      </c>
      <c r="C19" s="23">
        <v>17</v>
      </c>
      <c r="D19" s="5" t="s">
        <v>27</v>
      </c>
      <c r="E19" s="9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7">
        <f t="shared" si="1"/>
        <v>0</v>
      </c>
      <c r="U19" s="27"/>
      <c r="V19" s="12"/>
      <c r="W19" s="12"/>
      <c r="X19" s="12"/>
      <c r="Y19" s="12"/>
      <c r="Z19" s="12"/>
      <c r="AA19" s="12"/>
      <c r="AB19" s="30">
        <f t="shared" si="3"/>
        <v>0</v>
      </c>
      <c r="AC19" s="1"/>
    </row>
    <row r="20" spans="1:29" ht="30" customHeight="1" x14ac:dyDescent="0.3">
      <c r="A20" s="57" t="s">
        <v>50</v>
      </c>
      <c r="B20" s="59" t="s">
        <v>125</v>
      </c>
      <c r="C20" s="23">
        <v>18</v>
      </c>
      <c r="D20" s="5" t="s">
        <v>28</v>
      </c>
      <c r="E20" s="94">
        <v>3500</v>
      </c>
      <c r="F20" s="26"/>
      <c r="G20" s="26"/>
      <c r="H20" s="26"/>
      <c r="I20" s="26">
        <v>2500</v>
      </c>
      <c r="J20" s="26"/>
      <c r="K20" s="26"/>
      <c r="L20" s="26">
        <f>1000</f>
        <v>1000</v>
      </c>
      <c r="M20" s="26"/>
      <c r="N20" s="26"/>
      <c r="O20" s="26"/>
      <c r="P20" s="26"/>
      <c r="Q20" s="26"/>
      <c r="R20" s="26"/>
      <c r="S20" s="26"/>
      <c r="T20" s="27">
        <f t="shared" si="1"/>
        <v>3500</v>
      </c>
      <c r="U20" s="27"/>
      <c r="V20" s="12"/>
      <c r="W20" s="12">
        <v>3500</v>
      </c>
      <c r="X20" s="12"/>
      <c r="Y20" s="12"/>
      <c r="Z20" s="12"/>
      <c r="AA20" s="12"/>
      <c r="AB20" s="30">
        <f t="shared" si="3"/>
        <v>3500</v>
      </c>
      <c r="AC20" s="1"/>
    </row>
    <row r="21" spans="1:29" ht="30" customHeight="1" x14ac:dyDescent="0.3">
      <c r="A21" s="57" t="s">
        <v>50</v>
      </c>
      <c r="B21" s="59" t="s">
        <v>125</v>
      </c>
      <c r="C21" s="23">
        <v>19</v>
      </c>
      <c r="D21" s="5" t="s">
        <v>225</v>
      </c>
      <c r="E21" s="94">
        <v>3500</v>
      </c>
      <c r="F21" s="26"/>
      <c r="G21" s="26">
        <f>500*5</f>
        <v>2500</v>
      </c>
      <c r="H21" s="26"/>
      <c r="I21" s="26"/>
      <c r="J21" s="26">
        <v>500</v>
      </c>
      <c r="K21" s="26"/>
      <c r="L21" s="26">
        <v>500</v>
      </c>
      <c r="M21" s="26"/>
      <c r="N21" s="26"/>
      <c r="O21" s="26"/>
      <c r="P21" s="26"/>
      <c r="Q21" s="26"/>
      <c r="R21" s="26"/>
      <c r="S21" s="26"/>
      <c r="T21" s="27">
        <f t="shared" si="1"/>
        <v>3500</v>
      </c>
      <c r="U21" s="27"/>
      <c r="V21" s="30">
        <v>500</v>
      </c>
      <c r="W21" s="30">
        <v>650</v>
      </c>
      <c r="X21" s="30">
        <v>650</v>
      </c>
      <c r="Y21" s="30">
        <v>650</v>
      </c>
      <c r="Z21" s="30">
        <v>650</v>
      </c>
      <c r="AA21" s="30">
        <v>400</v>
      </c>
      <c r="AB21" s="30">
        <f t="shared" si="3"/>
        <v>3500</v>
      </c>
      <c r="AC21" s="1"/>
    </row>
    <row r="22" spans="1:29" ht="30" customHeight="1" x14ac:dyDescent="0.3">
      <c r="A22" s="57" t="s">
        <v>50</v>
      </c>
      <c r="B22" s="59" t="s">
        <v>125</v>
      </c>
      <c r="C22" s="23">
        <v>20</v>
      </c>
      <c r="D22" s="5" t="s">
        <v>213</v>
      </c>
      <c r="E22" s="94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>
        <f t="shared" si="1"/>
        <v>0</v>
      </c>
      <c r="U22" s="27"/>
      <c r="V22" s="30"/>
      <c r="W22" s="30"/>
      <c r="X22" s="30"/>
      <c r="Y22" s="30"/>
      <c r="Z22" s="30"/>
      <c r="AA22" s="30"/>
      <c r="AB22" s="30">
        <f t="shared" si="3"/>
        <v>0</v>
      </c>
      <c r="AC22" s="1"/>
    </row>
    <row r="23" spans="1:29" ht="30" customHeight="1" x14ac:dyDescent="0.3">
      <c r="A23" s="57" t="s">
        <v>51</v>
      </c>
      <c r="B23" s="59" t="s">
        <v>126</v>
      </c>
      <c r="C23" s="23">
        <v>21</v>
      </c>
      <c r="D23" s="85" t="s">
        <v>205</v>
      </c>
      <c r="E23" s="94"/>
      <c r="F23" s="26"/>
      <c r="G23" s="26"/>
      <c r="H23" s="26"/>
      <c r="I23" s="26"/>
      <c r="J23" s="80">
        <v>50000</v>
      </c>
      <c r="K23" s="26"/>
      <c r="L23" s="26"/>
      <c r="M23" s="26"/>
      <c r="N23" s="26"/>
      <c r="O23" s="26"/>
      <c r="P23" s="26"/>
      <c r="Q23" s="26"/>
      <c r="R23" s="26"/>
      <c r="S23" s="26"/>
      <c r="T23" s="27">
        <f t="shared" si="1"/>
        <v>50000</v>
      </c>
      <c r="U23" s="27"/>
      <c r="V23" s="30"/>
      <c r="W23" s="30">
        <f>50000*0.15</f>
        <v>7500</v>
      </c>
      <c r="X23" s="30">
        <f>50000*0.2</f>
        <v>10000</v>
      </c>
      <c r="Y23" s="30">
        <f>50000*0.2</f>
        <v>10000</v>
      </c>
      <c r="Z23" s="30">
        <f>50000*0.2</f>
        <v>10000</v>
      </c>
      <c r="AA23" s="30">
        <f>50000*0.25</f>
        <v>12500</v>
      </c>
      <c r="AB23" s="30">
        <f t="shared" si="3"/>
        <v>50000</v>
      </c>
      <c r="AC23" s="1"/>
    </row>
    <row r="24" spans="1:29" ht="43.2" x14ac:dyDescent="0.3">
      <c r="A24" s="57" t="s">
        <v>51</v>
      </c>
      <c r="B24" s="59" t="s">
        <v>126</v>
      </c>
      <c r="C24" s="23">
        <v>22</v>
      </c>
      <c r="D24" s="85" t="s">
        <v>206</v>
      </c>
      <c r="E24" s="94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7">
        <f t="shared" si="1"/>
        <v>0</v>
      </c>
      <c r="U24" s="27"/>
      <c r="V24" s="30"/>
      <c r="W24" s="30"/>
      <c r="X24" s="30"/>
      <c r="Y24" s="30"/>
      <c r="Z24" s="30"/>
      <c r="AA24" s="30"/>
      <c r="AB24" s="30">
        <f t="shared" si="3"/>
        <v>0</v>
      </c>
      <c r="AC24" s="1"/>
    </row>
    <row r="25" spans="1:29" ht="43.2" x14ac:dyDescent="0.3">
      <c r="A25" s="57" t="s">
        <v>51</v>
      </c>
      <c r="B25" s="59" t="s">
        <v>126</v>
      </c>
      <c r="C25" s="23">
        <v>23</v>
      </c>
      <c r="D25" s="85" t="s">
        <v>214</v>
      </c>
      <c r="E25" s="94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>
        <v>20000</v>
      </c>
      <c r="R25" s="26"/>
      <c r="S25" s="26"/>
      <c r="T25" s="27">
        <f t="shared" si="1"/>
        <v>20000</v>
      </c>
      <c r="U25" s="27"/>
      <c r="V25" s="30"/>
      <c r="W25" s="30">
        <v>20000</v>
      </c>
      <c r="X25" s="30"/>
      <c r="Y25" s="30"/>
      <c r="Z25" s="30"/>
      <c r="AA25" s="30"/>
      <c r="AB25" s="30">
        <f t="shared" si="3"/>
        <v>20000</v>
      </c>
      <c r="AC25" s="1"/>
    </row>
    <row r="26" spans="1:29" ht="43.2" x14ac:dyDescent="0.3">
      <c r="A26" s="57" t="s">
        <v>51</v>
      </c>
      <c r="B26" s="59" t="s">
        <v>126</v>
      </c>
      <c r="C26" s="23">
        <v>24</v>
      </c>
      <c r="D26" s="5" t="s">
        <v>215</v>
      </c>
      <c r="E26" s="94"/>
      <c r="F26" s="26"/>
      <c r="G26" s="26"/>
      <c r="H26" s="26"/>
      <c r="I26" s="80">
        <v>9000</v>
      </c>
      <c r="J26" s="26"/>
      <c r="K26" s="26"/>
      <c r="L26" s="26"/>
      <c r="M26" s="26"/>
      <c r="N26" s="26"/>
      <c r="O26" s="26"/>
      <c r="P26" s="26"/>
      <c r="Q26" s="26">
        <v>0</v>
      </c>
      <c r="R26" s="26"/>
      <c r="S26" s="26"/>
      <c r="T26" s="27">
        <f t="shared" si="1"/>
        <v>9000</v>
      </c>
      <c r="U26" s="27"/>
      <c r="V26" s="110"/>
      <c r="W26" s="12">
        <v>9000</v>
      </c>
      <c r="X26" s="12"/>
      <c r="Y26" s="12"/>
      <c r="Z26" s="12"/>
      <c r="AA26" s="12"/>
      <c r="AB26" s="30">
        <f t="shared" si="3"/>
        <v>9000</v>
      </c>
      <c r="AC26" s="1"/>
    </row>
    <row r="27" spans="1:29" ht="30" customHeight="1" x14ac:dyDescent="0.3">
      <c r="A27" s="57" t="s">
        <v>51</v>
      </c>
      <c r="B27" s="59" t="s">
        <v>126</v>
      </c>
      <c r="C27" s="23">
        <v>25</v>
      </c>
      <c r="D27" s="5" t="s">
        <v>315</v>
      </c>
      <c r="E27" s="94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7">
        <f t="shared" si="1"/>
        <v>0</v>
      </c>
      <c r="U27" s="27"/>
      <c r="V27" s="12"/>
      <c r="W27" s="12"/>
      <c r="X27" s="12"/>
      <c r="Y27" s="12"/>
      <c r="Z27" s="12"/>
      <c r="AA27" s="12"/>
      <c r="AB27" s="30">
        <f t="shared" si="3"/>
        <v>0</v>
      </c>
      <c r="AC27" s="1"/>
    </row>
    <row r="28" spans="1:29" ht="30" customHeight="1" x14ac:dyDescent="0.3">
      <c r="A28" s="57" t="s">
        <v>51</v>
      </c>
      <c r="B28" s="59" t="s">
        <v>126</v>
      </c>
      <c r="C28" s="23">
        <v>26</v>
      </c>
      <c r="D28" s="5" t="s">
        <v>239</v>
      </c>
      <c r="E28" s="94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>
        <v>100000</v>
      </c>
      <c r="S28" s="26">
        <v>88000</v>
      </c>
      <c r="T28" s="27">
        <f t="shared" si="1"/>
        <v>188000</v>
      </c>
      <c r="U28" s="27"/>
      <c r="V28" s="12"/>
      <c r="W28" s="12"/>
      <c r="X28" s="12"/>
      <c r="Y28" s="12"/>
      <c r="Z28" s="12">
        <v>100000</v>
      </c>
      <c r="AA28" s="12">
        <v>88000</v>
      </c>
      <c r="AB28" s="30">
        <f t="shared" si="3"/>
        <v>188000</v>
      </c>
      <c r="AC28" s="1"/>
    </row>
    <row r="29" spans="1:29" x14ac:dyDescent="0.3">
      <c r="A29" s="133"/>
      <c r="B29" s="105"/>
      <c r="C29" s="134"/>
      <c r="D29" s="105" t="s">
        <v>288</v>
      </c>
      <c r="E29" s="135"/>
      <c r="F29" s="102">
        <f t="shared" ref="F29:T29" si="4">SUM(F3:F28)</f>
        <v>21500</v>
      </c>
      <c r="G29" s="102">
        <f t="shared" si="4"/>
        <v>44900</v>
      </c>
      <c r="H29" s="102">
        <f t="shared" si="4"/>
        <v>9950</v>
      </c>
      <c r="I29" s="102">
        <f t="shared" si="4"/>
        <v>17900</v>
      </c>
      <c r="J29" s="102">
        <f t="shared" si="4"/>
        <v>53000</v>
      </c>
      <c r="K29" s="102">
        <f t="shared" si="4"/>
        <v>0</v>
      </c>
      <c r="L29" s="102">
        <f t="shared" si="4"/>
        <v>31400</v>
      </c>
      <c r="M29" s="102">
        <f t="shared" si="4"/>
        <v>0</v>
      </c>
      <c r="N29" s="102">
        <f t="shared" si="4"/>
        <v>11800</v>
      </c>
      <c r="O29" s="102">
        <f t="shared" si="4"/>
        <v>0</v>
      </c>
      <c r="P29" s="102">
        <f t="shared" si="4"/>
        <v>43600</v>
      </c>
      <c r="Q29" s="102">
        <f t="shared" si="4"/>
        <v>66950</v>
      </c>
      <c r="R29" s="102">
        <f t="shared" si="4"/>
        <v>100000</v>
      </c>
      <c r="S29" s="102">
        <f t="shared" si="4"/>
        <v>88000</v>
      </c>
      <c r="T29" s="129">
        <f t="shared" si="4"/>
        <v>489000</v>
      </c>
      <c r="U29" s="136"/>
      <c r="V29" s="97">
        <f t="shared" ref="V29:AA29" si="5">SUM(V3:V27)</f>
        <v>8550</v>
      </c>
      <c r="W29" s="97">
        <f t="shared" si="5"/>
        <v>102300</v>
      </c>
      <c r="X29" s="97">
        <f t="shared" si="5"/>
        <v>42050</v>
      </c>
      <c r="Y29" s="97">
        <f t="shared" si="5"/>
        <v>59850</v>
      </c>
      <c r="Z29" s="97">
        <f>SUM(Z3:Z28)</f>
        <v>155350</v>
      </c>
      <c r="AA29" s="97">
        <f>SUM(AA3:AA28)</f>
        <v>120900</v>
      </c>
      <c r="AB29" s="97">
        <f>SUM(AB3:AB28)</f>
        <v>489000</v>
      </c>
      <c r="AC29" s="133"/>
    </row>
    <row r="30" spans="1:29" x14ac:dyDescent="0.3">
      <c r="A30" s="21"/>
      <c r="B30" s="21"/>
      <c r="C30" s="22"/>
      <c r="D30" s="2"/>
      <c r="E30" s="30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9"/>
      <c r="U30" s="9"/>
      <c r="V30" s="12"/>
      <c r="W30" s="12"/>
      <c r="X30" s="12"/>
      <c r="Y30" s="12"/>
      <c r="Z30" s="12"/>
      <c r="AA30" s="12"/>
      <c r="AB30" s="12"/>
      <c r="AC30" s="1"/>
    </row>
    <row r="31" spans="1:29" ht="43.2" x14ac:dyDescent="0.3">
      <c r="A31" s="21"/>
      <c r="B31" s="21"/>
      <c r="C31" s="34" t="s">
        <v>39</v>
      </c>
      <c r="D31" s="31" t="s">
        <v>41</v>
      </c>
      <c r="E31" s="11"/>
      <c r="F31" s="26"/>
      <c r="G31" s="26"/>
      <c r="H31" s="26"/>
      <c r="I31" s="26"/>
      <c r="J31" s="80">
        <v>75000</v>
      </c>
      <c r="K31" s="26"/>
      <c r="L31" s="26"/>
      <c r="M31" s="26"/>
      <c r="N31" s="26"/>
      <c r="O31" s="26"/>
      <c r="P31" s="26"/>
      <c r="Q31" s="26"/>
      <c r="R31" s="26"/>
      <c r="S31" s="26"/>
      <c r="T31" s="27">
        <f>SUM(F31:S31)</f>
        <v>75000</v>
      </c>
      <c r="U31" s="27"/>
      <c r="V31" s="12"/>
      <c r="W31" s="12"/>
      <c r="X31" s="12"/>
      <c r="Y31" s="12">
        <v>19000</v>
      </c>
      <c r="Z31" s="12">
        <f>70000*0.35</f>
        <v>24500</v>
      </c>
      <c r="AA31" s="12">
        <f>70000*0.45</f>
        <v>31500</v>
      </c>
      <c r="AB31" s="12">
        <f>SUM(V31:AA31)</f>
        <v>75000</v>
      </c>
      <c r="AC31" s="1"/>
    </row>
    <row r="32" spans="1:29" x14ac:dyDescent="0.3">
      <c r="A32" s="21"/>
      <c r="B32" s="21"/>
      <c r="C32" s="34" t="s">
        <v>40</v>
      </c>
      <c r="D32" s="31" t="s">
        <v>42</v>
      </c>
      <c r="E32" s="11">
        <v>75000</v>
      </c>
      <c r="F32" s="26">
        <v>20000</v>
      </c>
      <c r="G32" s="26"/>
      <c r="H32" s="26"/>
      <c r="I32" s="26"/>
      <c r="J32" s="26"/>
      <c r="K32" s="26"/>
      <c r="L32" s="26">
        <v>30000</v>
      </c>
      <c r="M32" s="26"/>
      <c r="N32" s="26"/>
      <c r="O32" s="26"/>
      <c r="P32" s="26">
        <v>25000</v>
      </c>
      <c r="Q32" s="26"/>
      <c r="R32" s="26"/>
      <c r="S32" s="26"/>
      <c r="T32" s="27">
        <f t="shared" ref="T32:T38" si="6">SUM(F32:S32)</f>
        <v>75000</v>
      </c>
      <c r="U32" s="27"/>
      <c r="V32" s="12"/>
      <c r="W32" s="12">
        <v>75000</v>
      </c>
      <c r="X32" s="12"/>
      <c r="Y32" s="12"/>
      <c r="Z32" s="12"/>
      <c r="AA32" s="12"/>
      <c r="AB32" s="12">
        <f t="shared" ref="AB32:AB38" si="7">SUM(V32:AA32)</f>
        <v>75000</v>
      </c>
      <c r="AC32" s="1"/>
    </row>
    <row r="33" spans="1:29" ht="28.8" x14ac:dyDescent="0.3">
      <c r="A33" s="21"/>
      <c r="B33" s="21"/>
      <c r="C33" s="34" t="s">
        <v>43</v>
      </c>
      <c r="D33" s="31" t="s">
        <v>140</v>
      </c>
      <c r="E33" s="11"/>
      <c r="F33" s="26"/>
      <c r="G33" s="26"/>
      <c r="H33" s="26"/>
      <c r="I33" s="26"/>
      <c r="J33" s="26"/>
      <c r="K33" s="26"/>
      <c r="L33" s="26"/>
      <c r="M33" s="26">
        <v>75000</v>
      </c>
      <c r="N33" s="26"/>
      <c r="O33" s="26"/>
      <c r="P33" s="26"/>
      <c r="Q33" s="26"/>
      <c r="R33" s="26"/>
      <c r="S33" s="26"/>
      <c r="T33" s="27">
        <f t="shared" si="6"/>
        <v>75000</v>
      </c>
      <c r="U33" s="27"/>
      <c r="V33" s="12"/>
      <c r="W33" s="12">
        <f>M33*0.15</f>
        <v>11250</v>
      </c>
      <c r="X33" s="12">
        <f>65000*0.65</f>
        <v>42250</v>
      </c>
      <c r="Y33" s="12">
        <v>21500</v>
      </c>
      <c r="Z33" s="12"/>
      <c r="AA33" s="12"/>
      <c r="AB33" s="12">
        <f t="shared" si="7"/>
        <v>75000</v>
      </c>
      <c r="AC33" s="1"/>
    </row>
    <row r="34" spans="1:29" x14ac:dyDescent="0.3">
      <c r="A34" s="21"/>
      <c r="B34" s="21"/>
      <c r="C34" s="34" t="s">
        <v>44</v>
      </c>
      <c r="D34" s="31" t="s">
        <v>141</v>
      </c>
      <c r="E34" s="11"/>
      <c r="F34" s="26"/>
      <c r="G34" s="26"/>
      <c r="H34" s="26"/>
      <c r="I34" s="26"/>
      <c r="J34" s="26"/>
      <c r="K34" s="26"/>
      <c r="L34" s="26"/>
      <c r="M34" s="26">
        <v>124000</v>
      </c>
      <c r="N34" s="26"/>
      <c r="O34" s="26"/>
      <c r="P34" s="26"/>
      <c r="Q34" s="26"/>
      <c r="R34" s="26"/>
      <c r="S34" s="26"/>
      <c r="T34" s="27">
        <f t="shared" si="6"/>
        <v>124000</v>
      </c>
      <c r="U34" s="27"/>
      <c r="V34" s="12"/>
      <c r="W34" s="12"/>
      <c r="X34" s="12"/>
      <c r="Y34" s="12"/>
      <c r="Z34" s="12">
        <v>64000</v>
      </c>
      <c r="AA34" s="12">
        <f>120000*0.5</f>
        <v>60000</v>
      </c>
      <c r="AB34" s="12">
        <f t="shared" si="7"/>
        <v>124000</v>
      </c>
      <c r="AC34" s="1"/>
    </row>
    <row r="35" spans="1:29" ht="57.6" x14ac:dyDescent="0.3">
      <c r="A35" s="21"/>
      <c r="B35" s="21"/>
      <c r="C35" s="34" t="s">
        <v>143</v>
      </c>
      <c r="D35" s="31" t="s">
        <v>144</v>
      </c>
      <c r="E35" s="11">
        <v>75000</v>
      </c>
      <c r="F35" s="26"/>
      <c r="G35" s="26"/>
      <c r="H35" s="26"/>
      <c r="I35" s="26"/>
      <c r="J35" s="26">
        <v>35000</v>
      </c>
      <c r="K35" s="26"/>
      <c r="L35" s="26"/>
      <c r="M35" s="26"/>
      <c r="N35" s="26">
        <v>40000</v>
      </c>
      <c r="O35" s="26"/>
      <c r="P35" s="26"/>
      <c r="Q35" s="26"/>
      <c r="R35" s="26"/>
      <c r="S35" s="26"/>
      <c r="T35" s="27">
        <f t="shared" si="6"/>
        <v>75000</v>
      </c>
      <c r="U35" s="27"/>
      <c r="V35" s="12"/>
      <c r="W35" s="12">
        <v>75000</v>
      </c>
      <c r="X35" s="12"/>
      <c r="Y35" s="12"/>
      <c r="Z35" s="12"/>
      <c r="AA35" s="12"/>
      <c r="AB35" s="12">
        <f t="shared" si="7"/>
        <v>75000</v>
      </c>
      <c r="AC35" s="1"/>
    </row>
    <row r="36" spans="1:29" ht="43.2" x14ac:dyDescent="0.3">
      <c r="A36" s="21"/>
      <c r="B36" s="21"/>
      <c r="C36" s="34" t="s">
        <v>45</v>
      </c>
      <c r="D36" s="31" t="s">
        <v>139</v>
      </c>
      <c r="E36" s="11"/>
      <c r="F36" s="26"/>
      <c r="G36" s="26"/>
      <c r="H36" s="26"/>
      <c r="I36" s="26"/>
      <c r="J36" s="26"/>
      <c r="K36" s="26">
        <v>80000</v>
      </c>
      <c r="L36" s="26"/>
      <c r="M36" s="26"/>
      <c r="N36" s="26"/>
      <c r="O36" s="26"/>
      <c r="P36" s="26"/>
      <c r="Q36" s="26"/>
      <c r="R36" s="26"/>
      <c r="S36" s="26"/>
      <c r="T36" s="27">
        <f t="shared" si="6"/>
        <v>80000</v>
      </c>
      <c r="U36" s="27"/>
      <c r="V36" s="12"/>
      <c r="W36" s="12"/>
      <c r="X36" s="12">
        <v>80000</v>
      </c>
      <c r="Y36" s="12"/>
      <c r="Z36" s="12"/>
      <c r="AA36" s="12"/>
      <c r="AB36" s="12">
        <f t="shared" si="7"/>
        <v>80000</v>
      </c>
      <c r="AC36" s="1"/>
    </row>
    <row r="37" spans="1:29" ht="28.8" x14ac:dyDescent="0.3">
      <c r="A37" s="21"/>
      <c r="B37" s="21"/>
      <c r="C37" s="34" t="s">
        <v>46</v>
      </c>
      <c r="D37" s="31" t="s">
        <v>323</v>
      </c>
      <c r="E37" s="11"/>
      <c r="F37" s="26"/>
      <c r="G37" s="26"/>
      <c r="H37" s="26"/>
      <c r="I37" s="26"/>
      <c r="J37" s="26"/>
      <c r="K37" s="26"/>
      <c r="L37" s="26"/>
      <c r="M37" s="26"/>
      <c r="N37" s="26"/>
      <c r="O37" s="26">
        <v>115000</v>
      </c>
      <c r="P37" s="26"/>
      <c r="Q37" s="26"/>
      <c r="R37" s="26"/>
      <c r="S37" s="26"/>
      <c r="T37" s="27">
        <f t="shared" si="6"/>
        <v>115000</v>
      </c>
      <c r="U37" s="27"/>
      <c r="V37" s="12"/>
      <c r="W37" s="12"/>
      <c r="X37" s="12"/>
      <c r="Y37" s="12">
        <v>30000</v>
      </c>
      <c r="Z37" s="12">
        <v>60000</v>
      </c>
      <c r="AA37" s="12">
        <v>25000</v>
      </c>
      <c r="AB37" s="12">
        <f t="shared" si="7"/>
        <v>115000</v>
      </c>
      <c r="AC37" s="1"/>
    </row>
    <row r="38" spans="1:29" x14ac:dyDescent="0.3">
      <c r="A38" s="21"/>
      <c r="B38" s="21"/>
      <c r="C38" s="34" t="s">
        <v>47</v>
      </c>
      <c r="D38" s="31" t="s">
        <v>142</v>
      </c>
      <c r="E38" s="11"/>
      <c r="F38" s="26"/>
      <c r="G38" s="26"/>
      <c r="H38" s="26"/>
      <c r="I38" s="26"/>
      <c r="J38" s="26"/>
      <c r="K38" s="26"/>
      <c r="L38" s="26"/>
      <c r="M38" s="26"/>
      <c r="N38" s="26">
        <v>80000</v>
      </c>
      <c r="O38" s="26"/>
      <c r="P38" s="26"/>
      <c r="Q38" s="26"/>
      <c r="R38" s="26"/>
      <c r="S38" s="26"/>
      <c r="T38" s="27">
        <f t="shared" si="6"/>
        <v>80000</v>
      </c>
      <c r="U38" s="27"/>
      <c r="V38" s="12"/>
      <c r="W38" s="12">
        <v>80000</v>
      </c>
      <c r="X38" s="12"/>
      <c r="Y38" s="12"/>
      <c r="Z38" s="12"/>
      <c r="AA38" s="12"/>
      <c r="AB38" s="12">
        <f t="shared" si="7"/>
        <v>80000</v>
      </c>
      <c r="AC38" s="1"/>
    </row>
    <row r="39" spans="1:29" ht="28.8" x14ac:dyDescent="0.3">
      <c r="A39" s="105"/>
      <c r="B39" s="105"/>
      <c r="C39" s="106"/>
      <c r="D39" s="105" t="s">
        <v>289</v>
      </c>
      <c r="E39" s="105"/>
      <c r="F39" s="102">
        <f t="shared" ref="F39:T39" si="8">SUM(F31:F38)</f>
        <v>20000</v>
      </c>
      <c r="G39" s="102">
        <f t="shared" si="8"/>
        <v>0</v>
      </c>
      <c r="H39" s="102">
        <f t="shared" si="8"/>
        <v>0</v>
      </c>
      <c r="I39" s="102">
        <f t="shared" si="8"/>
        <v>0</v>
      </c>
      <c r="J39" s="102">
        <f t="shared" si="8"/>
        <v>110000</v>
      </c>
      <c r="K39" s="102">
        <f t="shared" si="8"/>
        <v>80000</v>
      </c>
      <c r="L39" s="102">
        <f t="shared" si="8"/>
        <v>30000</v>
      </c>
      <c r="M39" s="102">
        <f t="shared" si="8"/>
        <v>199000</v>
      </c>
      <c r="N39" s="102">
        <f t="shared" si="8"/>
        <v>120000</v>
      </c>
      <c r="O39" s="102">
        <f t="shared" si="8"/>
        <v>115000</v>
      </c>
      <c r="P39" s="102">
        <f t="shared" si="8"/>
        <v>25000</v>
      </c>
      <c r="Q39" s="102">
        <f t="shared" si="8"/>
        <v>0</v>
      </c>
      <c r="R39" s="102">
        <f t="shared" si="8"/>
        <v>0</v>
      </c>
      <c r="S39" s="102">
        <f t="shared" si="8"/>
        <v>0</v>
      </c>
      <c r="T39" s="129">
        <f>SUM(T31:T38)</f>
        <v>699000</v>
      </c>
      <c r="U39" s="97"/>
      <c r="V39" s="97">
        <f t="shared" ref="V39:AB39" si="9">SUM(V31:V38)</f>
        <v>0</v>
      </c>
      <c r="W39" s="97">
        <f t="shared" si="9"/>
        <v>241250</v>
      </c>
      <c r="X39" s="97">
        <f t="shared" si="9"/>
        <v>122250</v>
      </c>
      <c r="Y39" s="97">
        <f t="shared" si="9"/>
        <v>70500</v>
      </c>
      <c r="Z39" s="97">
        <f t="shared" si="9"/>
        <v>148500</v>
      </c>
      <c r="AA39" s="97">
        <f t="shared" si="9"/>
        <v>116500</v>
      </c>
      <c r="AB39" s="97">
        <f t="shared" si="9"/>
        <v>699000</v>
      </c>
      <c r="AC39" s="136"/>
    </row>
    <row r="40" spans="1:29" x14ac:dyDescent="0.3">
      <c r="A40" s="21"/>
      <c r="B40" s="21"/>
      <c r="C40" s="22"/>
      <c r="D40" s="2"/>
      <c r="E40" s="30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9"/>
      <c r="U40" s="9"/>
      <c r="V40" s="12"/>
      <c r="W40" s="12"/>
      <c r="X40" s="12"/>
      <c r="Y40" s="12"/>
      <c r="Z40" s="12"/>
      <c r="AA40" s="12"/>
      <c r="AB40" s="12"/>
      <c r="AC40" s="1"/>
    </row>
    <row r="41" spans="1:29" ht="28.8" x14ac:dyDescent="0.3">
      <c r="A41" s="128"/>
      <c r="B41" s="128"/>
      <c r="C41" s="98"/>
      <c r="D41" s="137" t="s">
        <v>292</v>
      </c>
      <c r="E41" s="99"/>
      <c r="F41" s="101">
        <f t="shared" ref="F41:T41" si="10">SUM(F29+F39)</f>
        <v>41500</v>
      </c>
      <c r="G41" s="101">
        <f t="shared" si="10"/>
        <v>44900</v>
      </c>
      <c r="H41" s="101">
        <f t="shared" si="10"/>
        <v>9950</v>
      </c>
      <c r="I41" s="101">
        <f t="shared" si="10"/>
        <v>17900</v>
      </c>
      <c r="J41" s="101">
        <f t="shared" si="10"/>
        <v>163000</v>
      </c>
      <c r="K41" s="101">
        <f t="shared" si="10"/>
        <v>80000</v>
      </c>
      <c r="L41" s="101">
        <f t="shared" si="10"/>
        <v>61400</v>
      </c>
      <c r="M41" s="101">
        <f t="shared" si="10"/>
        <v>199000</v>
      </c>
      <c r="N41" s="101">
        <f t="shared" si="10"/>
        <v>131800</v>
      </c>
      <c r="O41" s="101">
        <f t="shared" si="10"/>
        <v>115000</v>
      </c>
      <c r="P41" s="101">
        <f t="shared" si="10"/>
        <v>68600</v>
      </c>
      <c r="Q41" s="101">
        <f t="shared" si="10"/>
        <v>66950</v>
      </c>
      <c r="R41" s="101">
        <f t="shared" si="10"/>
        <v>100000</v>
      </c>
      <c r="S41" s="101">
        <f t="shared" si="10"/>
        <v>88000</v>
      </c>
      <c r="T41" s="130">
        <f t="shared" si="10"/>
        <v>1188000</v>
      </c>
      <c r="U41" s="101"/>
      <c r="V41" s="100">
        <f t="shared" ref="V41:AB41" si="11">V39+V29</f>
        <v>8550</v>
      </c>
      <c r="W41" s="100">
        <f t="shared" si="11"/>
        <v>343550</v>
      </c>
      <c r="X41" s="100">
        <f t="shared" si="11"/>
        <v>164300</v>
      </c>
      <c r="Y41" s="100">
        <f t="shared" si="11"/>
        <v>130350</v>
      </c>
      <c r="Z41" s="100">
        <f t="shared" si="11"/>
        <v>303850</v>
      </c>
      <c r="AA41" s="100">
        <f t="shared" si="11"/>
        <v>237400</v>
      </c>
      <c r="AB41" s="100">
        <f t="shared" si="11"/>
        <v>1188000</v>
      </c>
      <c r="AC41" s="167"/>
    </row>
    <row r="42" spans="1:29" ht="28.8" x14ac:dyDescent="0.3">
      <c r="A42" s="168"/>
      <c r="B42" s="168"/>
      <c r="C42" s="169"/>
      <c r="D42" s="170"/>
      <c r="E42" s="170"/>
      <c r="F42" s="8"/>
      <c r="G42" s="107" t="s">
        <v>243</v>
      </c>
      <c r="H42" s="107">
        <f>G41+H41+I41</f>
        <v>72750</v>
      </c>
      <c r="I42" s="108">
        <f>H42/T41</f>
        <v>6.1237373737373736E-2</v>
      </c>
      <c r="J42" s="8"/>
      <c r="K42" s="8"/>
      <c r="L42" s="8"/>
      <c r="M42" s="107" t="s">
        <v>242</v>
      </c>
      <c r="N42" s="107">
        <f>M41+N41+O41+P41+Q41</f>
        <v>581350</v>
      </c>
      <c r="O42" s="108">
        <f>N42/T41</f>
        <v>0.48935185185185187</v>
      </c>
      <c r="P42" s="8"/>
      <c r="Q42" s="8"/>
      <c r="R42" s="8"/>
      <c r="S42" s="8" t="s">
        <v>290</v>
      </c>
      <c r="T42" s="8"/>
      <c r="U42" s="8"/>
      <c r="V42" s="27"/>
      <c r="W42" s="27"/>
      <c r="X42" s="27"/>
      <c r="Y42" s="27"/>
      <c r="Z42" s="27"/>
      <c r="AA42" s="27"/>
      <c r="AB42" s="27"/>
      <c r="AC42" s="9"/>
    </row>
    <row r="43" spans="1:29" x14ac:dyDescent="0.3">
      <c r="A43" s="168"/>
      <c r="B43" s="168"/>
      <c r="C43" s="169"/>
      <c r="D43" s="170"/>
      <c r="E43" s="17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 t="s">
        <v>291</v>
      </c>
      <c r="T43" s="8"/>
      <c r="U43" s="8"/>
      <c r="V43" s="27"/>
      <c r="W43" s="27"/>
      <c r="X43" s="27"/>
      <c r="Y43" s="27"/>
      <c r="Z43" s="27"/>
      <c r="AA43" s="27"/>
      <c r="AB43" s="27"/>
      <c r="AC43" s="9"/>
    </row>
    <row r="44" spans="1:29" x14ac:dyDescent="0.3">
      <c r="A44" s="21"/>
      <c r="B44" s="21"/>
      <c r="C44" s="22"/>
      <c r="D44" s="2"/>
      <c r="E44" s="30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9"/>
      <c r="U44" s="9"/>
      <c r="V44" s="12"/>
      <c r="W44" s="12"/>
      <c r="X44" s="12"/>
      <c r="Y44" s="12"/>
      <c r="Z44" s="12"/>
      <c r="AA44" s="12"/>
      <c r="AB44" s="12"/>
      <c r="AC44" s="1"/>
    </row>
    <row r="45" spans="1:29" ht="43.2" x14ac:dyDescent="0.3">
      <c r="A45" s="120">
        <v>7</v>
      </c>
      <c r="B45" s="121" t="s">
        <v>238</v>
      </c>
      <c r="C45" s="122"/>
      <c r="D45" s="122" t="s">
        <v>237</v>
      </c>
      <c r="E45" s="122"/>
      <c r="F45" s="123">
        <f>ΧΡΟΝΟΧΡΕΩΣΗ!E18</f>
        <v>3390.6976744186049</v>
      </c>
      <c r="G45" s="123">
        <f>ΧΡΟΝΟΧΡΕΩΣΗ!F18</f>
        <v>11686.046511627907</v>
      </c>
      <c r="H45" s="123">
        <f>ΧΡΟΝΟΧΡΕΩΣΗ!G18</f>
        <v>10458.139534883721</v>
      </c>
      <c r="I45" s="123">
        <f>ΧΡΟΝΟΧΡΕΩΣΗ!H18</f>
        <v>10632.558139534884</v>
      </c>
      <c r="J45" s="123">
        <f>ΧΡΟΝΟΧΡΕΩΣΗ!I18</f>
        <v>39613.953488372092</v>
      </c>
      <c r="K45" s="123">
        <f>ΧΡΟΝΟΧΡΕΩΣΗ!J18</f>
        <v>0</v>
      </c>
      <c r="L45" s="123">
        <f>ΧΡΟΝΟΧΡΕΩΣΗ!K18</f>
        <v>24320.930232558138</v>
      </c>
      <c r="M45" s="123">
        <f>ΧΡΟΝΟΧΡΕΩΣΗ!L18</f>
        <v>0</v>
      </c>
      <c r="N45" s="123">
        <f>ΧΡΟΝΟΧΡΕΩΣΗ!M18</f>
        <v>1869.7674418604652</v>
      </c>
      <c r="O45" s="123">
        <f>ΧΡΟΝΟΧΡΕΩΣΗ!N18</f>
        <v>0</v>
      </c>
      <c r="P45" s="123">
        <f>ΧΡΟΝΟΧΡΕΩΣΗ!O18</f>
        <v>16269.767441860466</v>
      </c>
      <c r="Q45" s="123">
        <f>ΧΡΟΝΟΧΡΕΩΣΗ!P18</f>
        <v>20958.139534883721</v>
      </c>
      <c r="R45" s="123">
        <f>ΧΡΟΝΟΧΡΕΩΣΗ!Q18</f>
        <v>1395.3488372093025</v>
      </c>
      <c r="S45" s="123">
        <f>ΧΡΟΝΟΧΡΕΩΣΗ!R18</f>
        <v>3139.5348837209303</v>
      </c>
      <c r="T45" s="131">
        <f>SUM(F45:S45)</f>
        <v>143734.88372093023</v>
      </c>
      <c r="U45" s="120"/>
      <c r="V45" s="123"/>
      <c r="W45" s="123"/>
      <c r="X45" s="123"/>
      <c r="Y45" s="123"/>
      <c r="Z45" s="123"/>
      <c r="AA45" s="123"/>
      <c r="AB45" s="123"/>
      <c r="AC45" s="122"/>
    </row>
    <row r="46" spans="1:29" x14ac:dyDescent="0.3">
      <c r="A46" s="21"/>
      <c r="B46" s="21"/>
      <c r="C46" s="22"/>
      <c r="D46" s="2"/>
      <c r="E46" s="30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9"/>
      <c r="U46" s="9"/>
      <c r="V46" s="12"/>
      <c r="W46" s="12"/>
      <c r="X46" s="12"/>
      <c r="Y46" s="12"/>
      <c r="Z46" s="12"/>
      <c r="AA46" s="12"/>
      <c r="AB46" s="12"/>
      <c r="AC46" s="1"/>
    </row>
    <row r="47" spans="1:29" x14ac:dyDescent="0.3">
      <c r="A47" s="171"/>
      <c r="B47" s="171"/>
      <c r="C47" s="124"/>
      <c r="D47" s="138" t="s">
        <v>236</v>
      </c>
      <c r="E47" s="125"/>
      <c r="F47" s="126">
        <f>F41+F45</f>
        <v>44890.697674418603</v>
      </c>
      <c r="G47" s="126">
        <f t="shared" ref="G47:T47" si="12">G41+G45</f>
        <v>56586.046511627908</v>
      </c>
      <c r="H47" s="126">
        <f t="shared" si="12"/>
        <v>20408.139534883721</v>
      </c>
      <c r="I47" s="126">
        <f t="shared" si="12"/>
        <v>28532.558139534885</v>
      </c>
      <c r="J47" s="126">
        <f t="shared" si="12"/>
        <v>202613.95348837209</v>
      </c>
      <c r="K47" s="126">
        <f t="shared" si="12"/>
        <v>80000</v>
      </c>
      <c r="L47" s="126">
        <f t="shared" si="12"/>
        <v>85720.930232558138</v>
      </c>
      <c r="M47" s="126">
        <f t="shared" si="12"/>
        <v>199000</v>
      </c>
      <c r="N47" s="126">
        <f t="shared" si="12"/>
        <v>133669.76744186046</v>
      </c>
      <c r="O47" s="126">
        <f t="shared" si="12"/>
        <v>115000</v>
      </c>
      <c r="P47" s="126">
        <f t="shared" si="12"/>
        <v>84869.767441860458</v>
      </c>
      <c r="Q47" s="126">
        <f t="shared" si="12"/>
        <v>87908.139534883725</v>
      </c>
      <c r="R47" s="126">
        <f t="shared" si="12"/>
        <v>101395.3488372093</v>
      </c>
      <c r="S47" s="126">
        <f t="shared" si="12"/>
        <v>91139.534883720931</v>
      </c>
      <c r="T47" s="132">
        <f t="shared" si="12"/>
        <v>1331734.8837209302</v>
      </c>
      <c r="U47" s="127"/>
      <c r="V47" s="127"/>
      <c r="W47" s="127"/>
      <c r="X47" s="127"/>
      <c r="Y47" s="127"/>
      <c r="Z47" s="127"/>
      <c r="AA47" s="127"/>
      <c r="AB47" s="127"/>
      <c r="AC47" s="171"/>
    </row>
    <row r="48" spans="1:29" x14ac:dyDescent="0.3">
      <c r="A48" s="21"/>
      <c r="B48" s="21"/>
      <c r="C48" s="22"/>
      <c r="D48" s="2"/>
      <c r="E48" s="21"/>
      <c r="F48" s="22"/>
      <c r="G48" s="21"/>
      <c r="H48" s="22"/>
      <c r="I48" s="2"/>
      <c r="J48" s="21"/>
      <c r="K48" s="22"/>
      <c r="L48" s="2"/>
      <c r="M48" s="21"/>
      <c r="N48" s="2"/>
      <c r="O48" s="2"/>
      <c r="P48" s="21"/>
      <c r="Q48" s="22"/>
      <c r="R48" s="22"/>
      <c r="S48" s="22"/>
      <c r="T48" s="2"/>
      <c r="U48" s="21"/>
      <c r="V48" s="12"/>
      <c r="W48" s="12"/>
      <c r="X48" s="12"/>
      <c r="Y48" s="12"/>
      <c r="Z48" s="12"/>
      <c r="AA48" s="12"/>
      <c r="AB48" s="12"/>
      <c r="AC48" s="1"/>
    </row>
    <row r="49" spans="1:29" x14ac:dyDescent="0.3">
      <c r="A49" s="21"/>
      <c r="B49" s="21"/>
      <c r="C49" s="22"/>
      <c r="D49" s="2"/>
      <c r="E49" s="21"/>
      <c r="F49" s="22"/>
      <c r="G49" s="21"/>
      <c r="H49" s="22"/>
      <c r="I49" s="2"/>
      <c r="J49" s="21"/>
      <c r="K49" s="22"/>
      <c r="L49" s="2"/>
      <c r="M49" s="21"/>
      <c r="N49" s="2"/>
      <c r="O49" s="2"/>
      <c r="P49" s="21"/>
      <c r="Q49" s="22"/>
      <c r="R49" s="22"/>
      <c r="S49" s="22"/>
      <c r="T49" s="2"/>
      <c r="U49" s="21"/>
      <c r="V49" s="12"/>
      <c r="W49" s="12"/>
      <c r="X49" s="12"/>
      <c r="Y49" s="12"/>
      <c r="Z49" s="12"/>
      <c r="AA49" s="12"/>
      <c r="AB49" s="12"/>
      <c r="AC49" s="1"/>
    </row>
    <row r="50" spans="1:29" x14ac:dyDescent="0.3">
      <c r="A50" s="21"/>
      <c r="B50" s="21"/>
      <c r="C50" s="22"/>
      <c r="D50" s="2"/>
      <c r="E50" s="21"/>
      <c r="F50" s="22"/>
      <c r="G50" s="21"/>
      <c r="H50" s="22"/>
      <c r="I50" s="2"/>
      <c r="J50" s="21"/>
      <c r="K50" s="22"/>
      <c r="L50" s="2"/>
      <c r="M50" s="21"/>
      <c r="N50" s="2"/>
      <c r="O50" s="2"/>
      <c r="P50" s="21"/>
      <c r="Q50" s="22"/>
      <c r="R50" s="22"/>
      <c r="S50" s="22"/>
      <c r="T50" s="2"/>
      <c r="U50" s="21"/>
      <c r="V50" s="12"/>
      <c r="W50" s="12"/>
      <c r="X50" s="12"/>
      <c r="Y50" s="12"/>
      <c r="Z50" s="12"/>
      <c r="AA50" s="12"/>
      <c r="AB50" s="12"/>
      <c r="AC50" s="1"/>
    </row>
    <row r="51" spans="1:29" x14ac:dyDescent="0.3">
      <c r="A51" s="21"/>
      <c r="B51" s="21"/>
      <c r="C51" s="22"/>
      <c r="D51" s="2"/>
      <c r="E51" s="21"/>
      <c r="F51" s="22"/>
      <c r="G51" s="21"/>
      <c r="H51" s="22"/>
      <c r="I51" s="2"/>
      <c r="J51" s="21"/>
      <c r="K51" s="22"/>
      <c r="L51" s="2"/>
      <c r="M51" s="21"/>
      <c r="N51" s="2"/>
      <c r="O51" s="2"/>
      <c r="P51" s="21"/>
      <c r="Q51" s="22"/>
      <c r="R51" s="22"/>
      <c r="S51" s="22"/>
      <c r="T51" s="2"/>
      <c r="U51" s="21"/>
      <c r="V51" s="12"/>
      <c r="W51" s="12"/>
      <c r="X51" s="12"/>
      <c r="Y51" s="12"/>
      <c r="Z51" s="12"/>
      <c r="AA51" s="12"/>
      <c r="AB51" s="12"/>
      <c r="AC51" s="1"/>
    </row>
  </sheetData>
  <pageMargins left="0.70866141732283472" right="0.70866141732283472" top="0.74803149606299213" bottom="0.74803149606299213" header="0.31496062992125984" footer="0.31496062992125984"/>
  <pageSetup paperSize="8" scale="61" fitToHeight="0" orientation="landscape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"/>
  <sheetViews>
    <sheetView tabSelected="1" topLeftCell="B1" zoomScale="85" zoomScaleNormal="85" workbookViewId="0">
      <selection activeCell="T18" sqref="T18"/>
    </sheetView>
  </sheetViews>
  <sheetFormatPr defaultRowHeight="14.4" x14ac:dyDescent="0.3"/>
  <cols>
    <col min="1" max="1" width="19.109375" customWidth="1"/>
    <col min="2" max="2" width="17" customWidth="1"/>
    <col min="3" max="3" width="14.6640625" customWidth="1"/>
    <col min="4" max="4" width="11.44140625" style="81" customWidth="1"/>
    <col min="5" max="5" width="10.109375" customWidth="1"/>
    <col min="6" max="6" width="9.21875" bestFit="1" customWidth="1"/>
    <col min="20" max="20" width="12.33203125" customWidth="1"/>
    <col min="21" max="21" width="11.88671875" customWidth="1"/>
    <col min="22" max="22" width="12.6640625" customWidth="1"/>
    <col min="23" max="23" width="10.44140625" customWidth="1"/>
  </cols>
  <sheetData>
    <row r="1" spans="1:25" ht="72.599999999999994" x14ac:dyDescent="0.3">
      <c r="A1" s="43"/>
      <c r="B1" s="41"/>
      <c r="C1" s="41"/>
      <c r="D1" s="179"/>
      <c r="E1" s="154" t="s">
        <v>298</v>
      </c>
      <c r="F1" s="207" t="s">
        <v>294</v>
      </c>
      <c r="G1" s="208"/>
      <c r="H1" s="208"/>
      <c r="I1" s="207" t="s">
        <v>295</v>
      </c>
      <c r="J1" s="209"/>
      <c r="K1" s="209"/>
      <c r="L1" s="207" t="s">
        <v>296</v>
      </c>
      <c r="M1" s="209"/>
      <c r="N1" s="209"/>
      <c r="O1" s="209"/>
      <c r="P1" s="209"/>
      <c r="Q1" s="182"/>
      <c r="R1" s="182"/>
      <c r="S1" s="142" t="s">
        <v>307</v>
      </c>
      <c r="T1" s="28" t="s">
        <v>61</v>
      </c>
      <c r="U1" s="28" t="s">
        <v>300</v>
      </c>
      <c r="V1" s="28" t="s">
        <v>301</v>
      </c>
      <c r="W1" s="43"/>
      <c r="X1" s="161"/>
      <c r="Y1" s="161"/>
    </row>
    <row r="2" spans="1:25" ht="121.8" x14ac:dyDescent="0.3">
      <c r="A2" s="1" t="s">
        <v>34</v>
      </c>
      <c r="B2" s="1" t="s">
        <v>32</v>
      </c>
      <c r="C2" s="2" t="s">
        <v>297</v>
      </c>
      <c r="D2" s="25" t="s">
        <v>137</v>
      </c>
      <c r="E2" s="155" t="s">
        <v>182</v>
      </c>
      <c r="F2" s="155" t="s">
        <v>63</v>
      </c>
      <c r="G2" s="155" t="s">
        <v>64</v>
      </c>
      <c r="H2" s="155" t="s">
        <v>248</v>
      </c>
      <c r="I2" s="156" t="s">
        <v>65</v>
      </c>
      <c r="J2" s="157" t="s">
        <v>66</v>
      </c>
      <c r="K2" s="157" t="s">
        <v>67</v>
      </c>
      <c r="L2" s="155" t="s">
        <v>68</v>
      </c>
      <c r="M2" s="155" t="s">
        <v>69</v>
      </c>
      <c r="N2" s="155" t="s">
        <v>322</v>
      </c>
      <c r="O2" s="157" t="s">
        <v>70</v>
      </c>
      <c r="P2" s="155" t="s">
        <v>71</v>
      </c>
      <c r="Q2" s="155" t="s">
        <v>337</v>
      </c>
      <c r="R2" s="155" t="s">
        <v>338</v>
      </c>
      <c r="S2" s="158"/>
      <c r="T2" s="7"/>
      <c r="U2" s="7"/>
      <c r="V2" s="28" t="s">
        <v>308</v>
      </c>
      <c r="W2" s="1">
        <f>1720*0.25+1720*5</f>
        <v>9030</v>
      </c>
      <c r="X2" s="4"/>
      <c r="Y2" s="4"/>
    </row>
    <row r="3" spans="1:25" ht="21.6" x14ac:dyDescent="0.3">
      <c r="A3" s="159" t="s">
        <v>35</v>
      </c>
      <c r="B3" s="159" t="s">
        <v>131</v>
      </c>
      <c r="C3" s="1"/>
      <c r="D3" s="110">
        <f>14400/1720</f>
        <v>8.3720930232558146</v>
      </c>
      <c r="E3" s="65">
        <f>8*5*5</f>
        <v>200</v>
      </c>
      <c r="F3" s="65">
        <f>2*4*8*5</f>
        <v>320</v>
      </c>
      <c r="G3" s="65">
        <f>1*10*8</f>
        <v>80</v>
      </c>
      <c r="H3" s="65">
        <f>10*3*8</f>
        <v>240</v>
      </c>
      <c r="I3" s="65">
        <f>30*8</f>
        <v>240</v>
      </c>
      <c r="J3" s="65">
        <v>0</v>
      </c>
      <c r="K3" s="65">
        <f>20*8</f>
        <v>160</v>
      </c>
      <c r="L3" s="65">
        <v>0</v>
      </c>
      <c r="M3" s="65">
        <f>20*8</f>
        <v>160</v>
      </c>
      <c r="N3" s="65">
        <v>0</v>
      </c>
      <c r="O3" s="65">
        <f>20*8</f>
        <v>160</v>
      </c>
      <c r="P3" s="65">
        <f>20*8</f>
        <v>160</v>
      </c>
      <c r="Q3" s="65">
        <f>1*10*8</f>
        <v>80</v>
      </c>
      <c r="R3" s="65">
        <f>10*3*8</f>
        <v>240</v>
      </c>
      <c r="S3" s="67">
        <f>SUM(E3:R3)</f>
        <v>2040</v>
      </c>
      <c r="T3" s="6">
        <f t="shared" ref="T3:T14" si="0">S3*D3</f>
        <v>17079.069767441862</v>
      </c>
      <c r="U3" s="29">
        <f>S3/8</f>
        <v>255</v>
      </c>
      <c r="V3" s="152">
        <f>S3/9030</f>
        <v>0.22591362126245848</v>
      </c>
      <c r="W3" s="1"/>
      <c r="X3" s="4"/>
      <c r="Y3" s="4"/>
    </row>
    <row r="4" spans="1:25" ht="21.6" x14ac:dyDescent="0.3">
      <c r="A4" s="159" t="s">
        <v>35</v>
      </c>
      <c r="B4" s="159" t="s">
        <v>132</v>
      </c>
      <c r="C4" s="1"/>
      <c r="D4" s="110">
        <f>15000/1720</f>
        <v>8.720930232558139</v>
      </c>
      <c r="E4" s="65">
        <f>2.5*8</f>
        <v>20</v>
      </c>
      <c r="F4" s="65">
        <v>120</v>
      </c>
      <c r="G4" s="65">
        <f t="shared" ref="G4:G7" si="1">1*10*8</f>
        <v>80</v>
      </c>
      <c r="H4" s="65">
        <f>H3/4</f>
        <v>60</v>
      </c>
      <c r="I4" s="65">
        <f>60*8</f>
        <v>480</v>
      </c>
      <c r="J4" s="65">
        <v>0</v>
      </c>
      <c r="K4" s="65"/>
      <c r="L4" s="65">
        <v>0</v>
      </c>
      <c r="M4" s="65"/>
      <c r="N4" s="65">
        <v>0</v>
      </c>
      <c r="O4" s="65">
        <f>60*8*2</f>
        <v>960</v>
      </c>
      <c r="P4" s="65"/>
      <c r="Q4" s="65"/>
      <c r="R4" s="65"/>
      <c r="S4" s="67">
        <f t="shared" ref="S4:S14" si="2">SUM(E4:R4)</f>
        <v>1720</v>
      </c>
      <c r="T4" s="6">
        <f t="shared" si="0"/>
        <v>15000</v>
      </c>
      <c r="U4" s="29">
        <f t="shared" ref="U4:U14" si="3">S4/8</f>
        <v>215</v>
      </c>
      <c r="V4" s="152">
        <f t="shared" ref="V4:V14" si="4">S4/9030</f>
        <v>0.19047619047619047</v>
      </c>
      <c r="W4" s="1"/>
      <c r="X4" s="4"/>
      <c r="Y4" s="4"/>
    </row>
    <row r="5" spans="1:25" ht="21.6" x14ac:dyDescent="0.3">
      <c r="A5" s="159" t="s">
        <v>35</v>
      </c>
      <c r="B5" s="159" t="s">
        <v>133</v>
      </c>
      <c r="C5" s="1"/>
      <c r="D5" s="110">
        <f>10800/1720</f>
        <v>6.2790697674418601</v>
      </c>
      <c r="E5" s="65">
        <f>E4</f>
        <v>20</v>
      </c>
      <c r="F5" s="65">
        <v>120</v>
      </c>
      <c r="G5" s="65">
        <f t="shared" si="1"/>
        <v>80</v>
      </c>
      <c r="H5" s="65">
        <f>H4</f>
        <v>60</v>
      </c>
      <c r="I5" s="65">
        <f t="shared" ref="I5:I7" si="5">60*8</f>
        <v>480</v>
      </c>
      <c r="J5" s="65">
        <v>0</v>
      </c>
      <c r="K5" s="65"/>
      <c r="L5" s="65">
        <v>0</v>
      </c>
      <c r="M5" s="65"/>
      <c r="N5" s="65">
        <v>0</v>
      </c>
      <c r="O5" s="65">
        <f>60*8*2</f>
        <v>960</v>
      </c>
      <c r="P5" s="65"/>
      <c r="Q5" s="65"/>
      <c r="R5" s="65"/>
      <c r="S5" s="67">
        <f t="shared" si="2"/>
        <v>1720</v>
      </c>
      <c r="T5" s="6">
        <f t="shared" si="0"/>
        <v>10800</v>
      </c>
      <c r="U5" s="29">
        <f t="shared" si="3"/>
        <v>215</v>
      </c>
      <c r="V5" s="152">
        <f t="shared" si="4"/>
        <v>0.19047619047619047</v>
      </c>
      <c r="W5" s="1"/>
      <c r="X5" s="4"/>
      <c r="Y5" s="4"/>
    </row>
    <row r="6" spans="1:25" ht="21.6" x14ac:dyDescent="0.3">
      <c r="A6" s="159" t="s">
        <v>35</v>
      </c>
      <c r="B6" s="159" t="s">
        <v>134</v>
      </c>
      <c r="C6" s="1"/>
      <c r="D6" s="110">
        <f>12600/1720</f>
        <v>7.3255813953488369</v>
      </c>
      <c r="E6" s="65">
        <f>E5</f>
        <v>20</v>
      </c>
      <c r="F6" s="65">
        <v>120</v>
      </c>
      <c r="G6" s="65">
        <f t="shared" si="1"/>
        <v>80</v>
      </c>
      <c r="H6" s="65">
        <f>H5</f>
        <v>60</v>
      </c>
      <c r="I6" s="65">
        <f t="shared" si="5"/>
        <v>480</v>
      </c>
      <c r="J6" s="65">
        <v>0</v>
      </c>
      <c r="K6" s="65">
        <f>60*8*2</f>
        <v>960</v>
      </c>
      <c r="L6" s="65">
        <v>0</v>
      </c>
      <c r="M6" s="65"/>
      <c r="N6" s="65">
        <v>0</v>
      </c>
      <c r="O6" s="65"/>
      <c r="P6" s="65"/>
      <c r="Q6" s="65"/>
      <c r="R6" s="65"/>
      <c r="S6" s="67">
        <f t="shared" si="2"/>
        <v>1720</v>
      </c>
      <c r="T6" s="6">
        <f t="shared" si="0"/>
        <v>12600</v>
      </c>
      <c r="U6" s="29">
        <f t="shared" si="3"/>
        <v>215</v>
      </c>
      <c r="V6" s="152">
        <f t="shared" si="4"/>
        <v>0.19047619047619047</v>
      </c>
      <c r="W6" s="1"/>
      <c r="X6" s="4"/>
      <c r="Y6" s="4"/>
    </row>
    <row r="7" spans="1:25" ht="21.6" x14ac:dyDescent="0.3">
      <c r="A7" s="159" t="s">
        <v>35</v>
      </c>
      <c r="B7" s="159" t="s">
        <v>135</v>
      </c>
      <c r="C7" s="1"/>
      <c r="D7" s="110">
        <v>7.6744186046511631</v>
      </c>
      <c r="E7" s="65">
        <f>E4</f>
        <v>20</v>
      </c>
      <c r="F7" s="65">
        <v>120</v>
      </c>
      <c r="G7" s="65">
        <f t="shared" si="1"/>
        <v>80</v>
      </c>
      <c r="H7" s="65">
        <f>H6</f>
        <v>60</v>
      </c>
      <c r="I7" s="65">
        <f t="shared" si="5"/>
        <v>480</v>
      </c>
      <c r="J7" s="65">
        <v>0</v>
      </c>
      <c r="K7" s="65"/>
      <c r="L7" s="65">
        <v>0</v>
      </c>
      <c r="M7" s="65"/>
      <c r="N7" s="65">
        <v>0</v>
      </c>
      <c r="O7" s="65"/>
      <c r="P7" s="65">
        <f>120*8</f>
        <v>960</v>
      </c>
      <c r="Q7" s="65"/>
      <c r="R7" s="65"/>
      <c r="S7" s="67">
        <f t="shared" si="2"/>
        <v>1720</v>
      </c>
      <c r="T7" s="6">
        <f t="shared" si="0"/>
        <v>13200</v>
      </c>
      <c r="U7" s="29">
        <f t="shared" si="3"/>
        <v>215</v>
      </c>
      <c r="V7" s="152">
        <f t="shared" si="4"/>
        <v>0.19047619047619047</v>
      </c>
      <c r="W7" s="1"/>
      <c r="X7" s="4"/>
      <c r="Y7" s="4"/>
    </row>
    <row r="8" spans="1:25" ht="21.6" x14ac:dyDescent="0.3">
      <c r="A8" s="159" t="s">
        <v>33</v>
      </c>
      <c r="B8" s="159" t="s">
        <v>127</v>
      </c>
      <c r="C8" s="1"/>
      <c r="D8" s="110">
        <v>6.2790697674418601</v>
      </c>
      <c r="E8" s="65"/>
      <c r="F8" s="65"/>
      <c r="G8" s="65">
        <v>20</v>
      </c>
      <c r="H8" s="65"/>
      <c r="I8" s="65">
        <f>32.5*5*8</f>
        <v>1300</v>
      </c>
      <c r="J8" s="65">
        <v>0</v>
      </c>
      <c r="K8" s="65"/>
      <c r="L8" s="65">
        <v>0</v>
      </c>
      <c r="M8" s="65"/>
      <c r="N8" s="65">
        <v>0</v>
      </c>
      <c r="O8" s="65"/>
      <c r="P8" s="65">
        <f>10*8*5</f>
        <v>400</v>
      </c>
      <c r="Q8" s="65"/>
      <c r="R8" s="65"/>
      <c r="S8" s="67">
        <f t="shared" si="2"/>
        <v>1720</v>
      </c>
      <c r="T8" s="6">
        <f t="shared" si="0"/>
        <v>10800</v>
      </c>
      <c r="U8" s="29">
        <f t="shared" si="3"/>
        <v>215</v>
      </c>
      <c r="V8" s="152">
        <f t="shared" si="4"/>
        <v>0.19047619047619047</v>
      </c>
      <c r="W8" s="1"/>
      <c r="X8" s="4"/>
      <c r="Y8" s="4"/>
    </row>
    <row r="9" spans="1:25" ht="21.6" x14ac:dyDescent="0.3">
      <c r="A9" s="159" t="s">
        <v>33</v>
      </c>
      <c r="B9" s="159" t="s">
        <v>127</v>
      </c>
      <c r="C9" s="1"/>
      <c r="D9" s="110">
        <f>9000/1720</f>
        <v>5.2325581395348841</v>
      </c>
      <c r="E9" s="65"/>
      <c r="F9" s="65"/>
      <c r="G9" s="65">
        <v>20</v>
      </c>
      <c r="H9" s="65"/>
      <c r="I9" s="65">
        <f t="shared" ref="I9:I10" si="6">32.5*5*8</f>
        <v>1300</v>
      </c>
      <c r="J9" s="65">
        <v>0</v>
      </c>
      <c r="K9" s="65"/>
      <c r="L9" s="65">
        <v>0</v>
      </c>
      <c r="M9" s="65"/>
      <c r="N9" s="65">
        <v>0</v>
      </c>
      <c r="O9" s="65"/>
      <c r="P9" s="65">
        <f t="shared" ref="P9:P12" si="7">10*8*5</f>
        <v>400</v>
      </c>
      <c r="Q9" s="65"/>
      <c r="R9" s="65"/>
      <c r="S9" s="67">
        <f t="shared" si="2"/>
        <v>1720</v>
      </c>
      <c r="T9" s="6">
        <f t="shared" si="0"/>
        <v>9000</v>
      </c>
      <c r="U9" s="29">
        <f t="shared" si="3"/>
        <v>215</v>
      </c>
      <c r="V9" s="152">
        <f t="shared" si="4"/>
        <v>0.19047619047619047</v>
      </c>
      <c r="W9" s="1"/>
      <c r="X9" s="4"/>
      <c r="Y9" s="4"/>
    </row>
    <row r="10" spans="1:25" ht="21.6" x14ac:dyDescent="0.3">
      <c r="A10" s="159" t="s">
        <v>33</v>
      </c>
      <c r="B10" s="159" t="s">
        <v>127</v>
      </c>
      <c r="C10" s="1"/>
      <c r="D10" s="110">
        <f>10200/1720</f>
        <v>5.9302325581395348</v>
      </c>
      <c r="E10" s="65"/>
      <c r="F10" s="65"/>
      <c r="G10" s="65">
        <v>20</v>
      </c>
      <c r="H10" s="65"/>
      <c r="I10" s="65">
        <f t="shared" si="6"/>
        <v>1300</v>
      </c>
      <c r="J10" s="65">
        <v>0</v>
      </c>
      <c r="K10" s="65"/>
      <c r="L10" s="65">
        <v>0</v>
      </c>
      <c r="M10" s="65"/>
      <c r="N10" s="65">
        <v>0</v>
      </c>
      <c r="O10" s="65"/>
      <c r="P10" s="65">
        <f t="shared" si="7"/>
        <v>400</v>
      </c>
      <c r="Q10" s="65"/>
      <c r="R10" s="65"/>
      <c r="S10" s="67">
        <f t="shared" si="2"/>
        <v>1720</v>
      </c>
      <c r="T10" s="6">
        <f t="shared" si="0"/>
        <v>10200</v>
      </c>
      <c r="U10" s="29">
        <f t="shared" si="3"/>
        <v>215</v>
      </c>
      <c r="V10" s="152">
        <f t="shared" si="4"/>
        <v>0.19047619047619047</v>
      </c>
      <c r="W10" s="1"/>
      <c r="X10" s="4"/>
      <c r="Y10" s="4"/>
    </row>
    <row r="11" spans="1:25" x14ac:dyDescent="0.3">
      <c r="A11" s="159" t="s">
        <v>36</v>
      </c>
      <c r="B11" s="160" t="s">
        <v>128</v>
      </c>
      <c r="C11" s="1"/>
      <c r="D11" s="110">
        <f>9600/1720</f>
        <v>5.5813953488372094</v>
      </c>
      <c r="E11" s="65"/>
      <c r="F11" s="65"/>
      <c r="G11" s="65">
        <v>20</v>
      </c>
      <c r="H11" s="65"/>
      <c r="I11" s="65"/>
      <c r="J11" s="65">
        <v>0</v>
      </c>
      <c r="K11" s="65">
        <f t="shared" ref="K11:K12" si="8">32.5*5*8</f>
        <v>1300</v>
      </c>
      <c r="L11" s="65">
        <v>0</v>
      </c>
      <c r="M11" s="65"/>
      <c r="N11" s="65">
        <v>0</v>
      </c>
      <c r="O11" s="65"/>
      <c r="P11" s="65">
        <f t="shared" si="7"/>
        <v>400</v>
      </c>
      <c r="Q11" s="65"/>
      <c r="R11" s="65"/>
      <c r="S11" s="67">
        <f t="shared" si="2"/>
        <v>1720</v>
      </c>
      <c r="T11" s="6">
        <f t="shared" si="0"/>
        <v>9600</v>
      </c>
      <c r="U11" s="29">
        <f t="shared" si="3"/>
        <v>215</v>
      </c>
      <c r="V11" s="152">
        <f t="shared" si="4"/>
        <v>0.19047619047619047</v>
      </c>
      <c r="W11" s="1"/>
      <c r="X11" s="4"/>
      <c r="Y11" s="4"/>
    </row>
    <row r="12" spans="1:25" x14ac:dyDescent="0.3">
      <c r="A12" s="159" t="s">
        <v>36</v>
      </c>
      <c r="B12" s="159" t="s">
        <v>129</v>
      </c>
      <c r="C12" s="1"/>
      <c r="D12" s="110">
        <f>10800/1720</f>
        <v>6.2790697674418601</v>
      </c>
      <c r="E12" s="65"/>
      <c r="F12" s="65"/>
      <c r="G12" s="65">
        <v>20</v>
      </c>
      <c r="H12" s="65"/>
      <c r="I12" s="65"/>
      <c r="J12" s="65">
        <v>0</v>
      </c>
      <c r="K12" s="65">
        <f t="shared" si="8"/>
        <v>1300</v>
      </c>
      <c r="L12" s="65">
        <v>0</v>
      </c>
      <c r="M12" s="65"/>
      <c r="N12" s="65">
        <v>0</v>
      </c>
      <c r="O12" s="65"/>
      <c r="P12" s="65">
        <f t="shared" si="7"/>
        <v>400</v>
      </c>
      <c r="Q12" s="65"/>
      <c r="R12" s="65"/>
      <c r="S12" s="67">
        <f t="shared" si="2"/>
        <v>1720</v>
      </c>
      <c r="T12" s="6">
        <f t="shared" si="0"/>
        <v>10800</v>
      </c>
      <c r="U12" s="29">
        <f t="shared" si="3"/>
        <v>215</v>
      </c>
      <c r="V12" s="152">
        <f t="shared" si="4"/>
        <v>0.19047619047619047</v>
      </c>
      <c r="W12" s="1"/>
      <c r="X12" s="4"/>
      <c r="Y12" s="4"/>
    </row>
    <row r="13" spans="1:25" x14ac:dyDescent="0.3">
      <c r="A13" s="159" t="s">
        <v>38</v>
      </c>
      <c r="B13" s="159" t="s">
        <v>136</v>
      </c>
      <c r="C13" s="1"/>
      <c r="D13" s="110">
        <f>13200/1720</f>
        <v>7.6744186046511631</v>
      </c>
      <c r="E13" s="65"/>
      <c r="F13" s="65">
        <v>450</v>
      </c>
      <c r="G13" s="65">
        <v>450</v>
      </c>
      <c r="H13" s="65">
        <v>620</v>
      </c>
      <c r="I13" s="65">
        <v>40</v>
      </c>
      <c r="J13" s="65">
        <v>0</v>
      </c>
      <c r="K13" s="65">
        <v>40</v>
      </c>
      <c r="L13" s="65">
        <v>0</v>
      </c>
      <c r="M13" s="65">
        <v>40</v>
      </c>
      <c r="N13" s="65">
        <v>0</v>
      </c>
      <c r="O13" s="65">
        <v>40</v>
      </c>
      <c r="P13" s="65">
        <v>40</v>
      </c>
      <c r="Q13" s="65">
        <f t="shared" ref="Q13" si="9">1*10*8</f>
        <v>80</v>
      </c>
      <c r="R13" s="65">
        <v>60</v>
      </c>
      <c r="S13" s="67">
        <f>SUM(E13:R13)</f>
        <v>1860</v>
      </c>
      <c r="T13" s="6">
        <f t="shared" si="0"/>
        <v>14274.418604651164</v>
      </c>
      <c r="U13" s="29">
        <f t="shared" si="3"/>
        <v>232.5</v>
      </c>
      <c r="V13" s="152">
        <f t="shared" si="4"/>
        <v>0.20598006644518271</v>
      </c>
      <c r="W13" s="1"/>
      <c r="X13" s="4"/>
      <c r="Y13" s="4"/>
    </row>
    <row r="14" spans="1:25" x14ac:dyDescent="0.3">
      <c r="A14" s="159" t="s">
        <v>38</v>
      </c>
      <c r="B14" s="159" t="s">
        <v>130</v>
      </c>
      <c r="C14" s="1"/>
      <c r="D14" s="110">
        <f>9600/1720</f>
        <v>5.5813953488372094</v>
      </c>
      <c r="E14" s="65">
        <v>200</v>
      </c>
      <c r="F14" s="65">
        <v>350</v>
      </c>
      <c r="G14" s="65">
        <v>600</v>
      </c>
      <c r="H14" s="65">
        <v>370</v>
      </c>
      <c r="I14" s="65">
        <v>40</v>
      </c>
      <c r="J14" s="65">
        <v>0</v>
      </c>
      <c r="K14" s="65">
        <v>40</v>
      </c>
      <c r="L14" s="65">
        <v>0</v>
      </c>
      <c r="M14" s="65">
        <v>40</v>
      </c>
      <c r="N14" s="65">
        <v>0</v>
      </c>
      <c r="O14" s="65">
        <v>40</v>
      </c>
      <c r="P14" s="65">
        <v>40</v>
      </c>
      <c r="Q14" s="65">
        <f>2.5*8</f>
        <v>20</v>
      </c>
      <c r="R14" s="65">
        <v>120</v>
      </c>
      <c r="S14" s="67">
        <f t="shared" si="2"/>
        <v>1860</v>
      </c>
      <c r="T14" s="6">
        <f t="shared" si="0"/>
        <v>10381.39534883721</v>
      </c>
      <c r="U14" s="29">
        <f t="shared" si="3"/>
        <v>232.5</v>
      </c>
      <c r="V14" s="152">
        <f t="shared" si="4"/>
        <v>0.20598006644518271</v>
      </c>
      <c r="W14" s="1"/>
      <c r="X14" s="4"/>
      <c r="Y14" s="4"/>
    </row>
    <row r="15" spans="1:25" ht="14.25" customHeight="1" x14ac:dyDescent="0.3">
      <c r="A15" s="1"/>
      <c r="B15" s="1"/>
      <c r="C15" s="1"/>
      <c r="D15" s="110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6"/>
      <c r="P15" s="65"/>
      <c r="Q15" s="65"/>
      <c r="R15" s="65"/>
      <c r="S15" s="140"/>
      <c r="T15" s="6"/>
      <c r="U15" s="29"/>
      <c r="V15" s="139"/>
      <c r="W15" s="1"/>
      <c r="X15" s="4"/>
      <c r="Y15" s="4"/>
    </row>
    <row r="16" spans="1:25" x14ac:dyDescent="0.3">
      <c r="A16" s="1"/>
      <c r="B16" s="1"/>
      <c r="C16" s="1"/>
      <c r="D16" s="110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6"/>
      <c r="P16" s="65"/>
      <c r="Q16" s="65"/>
      <c r="R16" s="65"/>
      <c r="S16" s="140"/>
      <c r="T16" s="6"/>
      <c r="U16" s="29"/>
      <c r="V16" s="139"/>
      <c r="W16" s="1"/>
      <c r="X16" s="4"/>
      <c r="Y16" s="4"/>
    </row>
    <row r="17" spans="1:25" x14ac:dyDescent="0.3">
      <c r="A17" s="140" t="s">
        <v>299</v>
      </c>
      <c r="B17" s="140"/>
      <c r="C17" s="140"/>
      <c r="D17" s="180"/>
      <c r="E17" s="67">
        <f t="shared" ref="E17:R17" si="10">SUM(E3:E16)</f>
        <v>480</v>
      </c>
      <c r="F17" s="67">
        <f t="shared" si="10"/>
        <v>1600</v>
      </c>
      <c r="G17" s="67">
        <f t="shared" si="10"/>
        <v>1550</v>
      </c>
      <c r="H17" s="67">
        <f t="shared" si="10"/>
        <v>1470</v>
      </c>
      <c r="I17" s="67">
        <f t="shared" si="10"/>
        <v>6140</v>
      </c>
      <c r="J17" s="67">
        <f t="shared" si="10"/>
        <v>0</v>
      </c>
      <c r="K17" s="67">
        <f t="shared" si="10"/>
        <v>3800</v>
      </c>
      <c r="L17" s="67">
        <f t="shared" si="10"/>
        <v>0</v>
      </c>
      <c r="M17" s="67">
        <f t="shared" si="10"/>
        <v>240</v>
      </c>
      <c r="N17" s="67">
        <f t="shared" si="10"/>
        <v>0</v>
      </c>
      <c r="O17" s="67">
        <f t="shared" si="10"/>
        <v>2160</v>
      </c>
      <c r="P17" s="67">
        <f t="shared" si="10"/>
        <v>3200</v>
      </c>
      <c r="Q17" s="67">
        <f t="shared" si="10"/>
        <v>180</v>
      </c>
      <c r="R17" s="67">
        <f t="shared" si="10"/>
        <v>420</v>
      </c>
      <c r="S17" s="67">
        <f>SUM(S3:S16)</f>
        <v>21240</v>
      </c>
      <c r="T17" s="111"/>
      <c r="U17" s="141">
        <f>SUM(U3:U16)</f>
        <v>2655</v>
      </c>
      <c r="V17" s="140"/>
      <c r="W17" s="140"/>
      <c r="X17" s="162"/>
      <c r="Y17" s="162"/>
    </row>
    <row r="18" spans="1:25" ht="57.6" x14ac:dyDescent="0.3">
      <c r="A18" s="26" t="s">
        <v>335</v>
      </c>
      <c r="B18" s="8" t="s">
        <v>331</v>
      </c>
      <c r="C18" s="30"/>
      <c r="D18" s="26"/>
      <c r="E18" s="27">
        <f>$D3*E3+$D4*E4+$D5*E5+$D6*E6+$D7*E7+$D8*E8+$D9*E9+$D10*E10+$D11*E11+$D12*E12+$D13*E13+$D14*E14</f>
        <v>3390.6976744186049</v>
      </c>
      <c r="F18" s="27">
        <f t="shared" ref="F18:R18" si="11">$D3*F3+$D4*F4+$D5*F5+$D6*F6+$D7*F7+$D8*F8+$D9*F9+$D10*F10+$D11*F11+$D12*F12+$D13*F13+$D14*F14</f>
        <v>11686.046511627907</v>
      </c>
      <c r="G18" s="27">
        <f t="shared" si="11"/>
        <v>10458.139534883721</v>
      </c>
      <c r="H18" s="27">
        <f t="shared" si="11"/>
        <v>10632.558139534884</v>
      </c>
      <c r="I18" s="27">
        <f t="shared" si="11"/>
        <v>39613.953488372092</v>
      </c>
      <c r="J18" s="27">
        <f t="shared" si="11"/>
        <v>0</v>
      </c>
      <c r="K18" s="27">
        <f t="shared" si="11"/>
        <v>24320.930232558138</v>
      </c>
      <c r="L18" s="27">
        <f t="shared" si="11"/>
        <v>0</v>
      </c>
      <c r="M18" s="27">
        <f t="shared" si="11"/>
        <v>1869.7674418604652</v>
      </c>
      <c r="N18" s="27">
        <f t="shared" si="11"/>
        <v>0</v>
      </c>
      <c r="O18" s="27">
        <f t="shared" si="11"/>
        <v>16269.767441860466</v>
      </c>
      <c r="P18" s="27">
        <f t="shared" si="11"/>
        <v>20958.139534883721</v>
      </c>
      <c r="Q18" s="27">
        <f t="shared" si="11"/>
        <v>1395.3488372093025</v>
      </c>
      <c r="R18" s="27">
        <f t="shared" si="11"/>
        <v>3139.5348837209303</v>
      </c>
      <c r="S18" s="27"/>
      <c r="T18" s="27">
        <f>SUM(E18:S18)</f>
        <v>143734.88372093023</v>
      </c>
      <c r="U18" s="153"/>
      <c r="V18" s="30"/>
      <c r="W18" s="30"/>
      <c r="X18" s="33"/>
      <c r="Y18" s="33"/>
    </row>
    <row r="19" spans="1:25" x14ac:dyDescent="0.3">
      <c r="A19" s="4"/>
      <c r="B19" s="4"/>
      <c r="C19" s="4"/>
      <c r="D19" s="181"/>
    </row>
    <row r="20" spans="1:25" x14ac:dyDescent="0.3">
      <c r="A20" s="4"/>
      <c r="B20" s="4"/>
      <c r="C20" s="4"/>
      <c r="D20" s="181"/>
    </row>
  </sheetData>
  <mergeCells count="3">
    <mergeCell ref="F1:H1"/>
    <mergeCell ref="I1:K1"/>
    <mergeCell ref="L1:P1"/>
  </mergeCells>
  <pageMargins left="0.19685039370078741" right="0.19685039370078741" top="0.39370078740157483" bottom="0.39370078740157483" header="0.31496062992125984" footer="0.31496062992125984"/>
  <pageSetup paperSize="8" scale="83" fitToHeight="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workbookViewId="0">
      <pane xSplit="6" ySplit="1" topLeftCell="G14" activePane="bottomRight" state="frozen"/>
      <selection pane="topRight" activeCell="G1" sqref="G1"/>
      <selection pane="bottomLeft" activeCell="A3" sqref="A3"/>
      <selection pane="bottomRight" activeCell="G23" sqref="G23"/>
    </sheetView>
  </sheetViews>
  <sheetFormatPr defaultRowHeight="14.4" x14ac:dyDescent="0.3"/>
  <cols>
    <col min="1" max="1" width="4.44140625" customWidth="1"/>
    <col min="2" max="2" width="29.6640625" customWidth="1"/>
    <col min="3" max="3" width="8.5546875" customWidth="1"/>
    <col min="4" max="4" width="26.33203125" customWidth="1"/>
    <col min="5" max="5" width="10.5546875" customWidth="1"/>
    <col min="6" max="6" width="14.6640625" customWidth="1"/>
    <col min="7" max="7" width="11.109375" customWidth="1"/>
    <col min="8" max="9" width="18.44140625" customWidth="1"/>
    <col min="10" max="10" width="13.44140625" customWidth="1"/>
    <col min="11" max="11" width="15.33203125" customWidth="1"/>
    <col min="12" max="12" width="14" bestFit="1" customWidth="1"/>
    <col min="13" max="13" width="11.5546875" customWidth="1"/>
    <col min="14" max="14" width="12" customWidth="1"/>
    <col min="15" max="15" width="11.5546875" customWidth="1"/>
    <col min="16" max="16" width="12" customWidth="1"/>
    <col min="17" max="17" width="11.5546875" customWidth="1"/>
    <col min="18" max="18" width="12" customWidth="1"/>
    <col min="19" max="19" width="11.5546875" customWidth="1"/>
    <col min="20" max="20" width="12" customWidth="1"/>
    <col min="21" max="21" width="11.5546875" customWidth="1"/>
    <col min="22" max="22" width="12" customWidth="1"/>
    <col min="23" max="23" width="11.5546875" customWidth="1"/>
  </cols>
  <sheetData>
    <row r="1" spans="1:25" ht="46.8" x14ac:dyDescent="0.3">
      <c r="A1" s="24" t="s">
        <v>196</v>
      </c>
      <c r="B1" s="44" t="s">
        <v>197</v>
      </c>
      <c r="C1" s="24" t="s">
        <v>0</v>
      </c>
      <c r="D1" s="24" t="s">
        <v>8</v>
      </c>
      <c r="E1" s="24" t="s">
        <v>109</v>
      </c>
      <c r="F1" s="24" t="s">
        <v>73</v>
      </c>
      <c r="G1" s="24" t="s">
        <v>336</v>
      </c>
      <c r="H1" s="24" t="s">
        <v>117</v>
      </c>
      <c r="I1" s="24" t="s">
        <v>118</v>
      </c>
      <c r="J1" s="24" t="s">
        <v>119</v>
      </c>
      <c r="K1" s="149" t="s">
        <v>309</v>
      </c>
      <c r="L1" s="150" t="s">
        <v>158</v>
      </c>
      <c r="M1" s="150" t="s">
        <v>159</v>
      </c>
      <c r="N1" s="150" t="s">
        <v>160</v>
      </c>
      <c r="O1" s="150" t="s">
        <v>161</v>
      </c>
      <c r="P1" s="150" t="s">
        <v>162</v>
      </c>
      <c r="Q1" s="150" t="s">
        <v>163</v>
      </c>
      <c r="R1" s="150" t="s">
        <v>164</v>
      </c>
      <c r="S1" s="150" t="s">
        <v>165</v>
      </c>
      <c r="T1" s="150" t="s">
        <v>166</v>
      </c>
      <c r="U1" s="150" t="s">
        <v>167</v>
      </c>
      <c r="V1" s="150" t="s">
        <v>168</v>
      </c>
      <c r="W1" s="150" t="s">
        <v>169</v>
      </c>
      <c r="X1" s="151"/>
      <c r="Y1" s="151"/>
    </row>
    <row r="2" spans="1:25" ht="24" x14ac:dyDescent="0.3">
      <c r="A2" s="37" t="s">
        <v>302</v>
      </c>
      <c r="B2" s="117" t="s">
        <v>112</v>
      </c>
      <c r="C2" s="37" t="s">
        <v>306</v>
      </c>
      <c r="D2" s="38" t="s">
        <v>138</v>
      </c>
      <c r="E2" s="37" t="s">
        <v>181</v>
      </c>
      <c r="F2" s="37" t="s">
        <v>1</v>
      </c>
      <c r="G2" s="118">
        <f>'ΑΝΑΛΥΣΗ ΚΟΣΤΟΥΣ'!F29</f>
        <v>21500</v>
      </c>
      <c r="H2" s="119">
        <v>43374</v>
      </c>
      <c r="I2" s="119">
        <v>45291</v>
      </c>
      <c r="J2" s="20">
        <f>5*12+3</f>
        <v>63</v>
      </c>
      <c r="K2" s="118">
        <f>ΧΡΟΝΟΧΡΕΩΣΗ!E17</f>
        <v>480</v>
      </c>
      <c r="L2" s="20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39"/>
      <c r="Y2" s="39"/>
    </row>
    <row r="3" spans="1:25" ht="24" x14ac:dyDescent="0.3">
      <c r="A3" s="37" t="s">
        <v>302</v>
      </c>
      <c r="B3" s="117" t="s">
        <v>112</v>
      </c>
      <c r="C3" s="37" t="s">
        <v>306</v>
      </c>
      <c r="D3" s="38" t="s">
        <v>138</v>
      </c>
      <c r="E3" s="37" t="s">
        <v>148</v>
      </c>
      <c r="F3" s="37" t="s">
        <v>2</v>
      </c>
      <c r="G3" s="118">
        <f>'ΑΝΑΛΥΣΗ ΚΟΣΤΟΥΣ'!F32</f>
        <v>20000</v>
      </c>
      <c r="H3" s="119">
        <v>43739</v>
      </c>
      <c r="I3" s="119">
        <v>43830</v>
      </c>
      <c r="J3" s="20">
        <v>3</v>
      </c>
      <c r="K3" s="20"/>
      <c r="L3" s="20"/>
      <c r="M3" s="20"/>
      <c r="N3" s="20"/>
      <c r="O3" s="116"/>
      <c r="P3" s="20"/>
      <c r="Q3" s="20"/>
      <c r="R3" s="20"/>
      <c r="S3" s="20"/>
      <c r="T3" s="20"/>
      <c r="U3" s="20"/>
      <c r="V3" s="20"/>
      <c r="W3" s="20"/>
      <c r="X3" s="39"/>
      <c r="Y3" s="39"/>
    </row>
    <row r="4" spans="1:25" ht="24" x14ac:dyDescent="0.3">
      <c r="A4" s="37" t="s">
        <v>303</v>
      </c>
      <c r="B4" s="117" t="s">
        <v>222</v>
      </c>
      <c r="C4" s="37" t="s">
        <v>268</v>
      </c>
      <c r="D4" s="38" t="s">
        <v>12</v>
      </c>
      <c r="E4" s="37" t="s">
        <v>181</v>
      </c>
      <c r="F4" s="37" t="s">
        <v>1</v>
      </c>
      <c r="G4" s="118">
        <f>'ΑΝΑΛΥΣΗ ΚΟΣΤΟΥΣ'!G29</f>
        <v>44900</v>
      </c>
      <c r="H4" s="119">
        <v>43374</v>
      </c>
      <c r="I4" s="119">
        <v>45291</v>
      </c>
      <c r="J4" s="20">
        <f>5*12+3</f>
        <v>63</v>
      </c>
      <c r="K4" s="118">
        <f>ΧΡΟΝΟΧΡΕΩΣΗ!F17</f>
        <v>1600</v>
      </c>
      <c r="L4" s="20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39"/>
      <c r="Y4" s="39"/>
    </row>
    <row r="5" spans="1:25" ht="24" x14ac:dyDescent="0.3">
      <c r="A5" s="37" t="s">
        <v>303</v>
      </c>
      <c r="B5" s="117" t="s">
        <v>222</v>
      </c>
      <c r="C5" s="37" t="s">
        <v>269</v>
      </c>
      <c r="D5" s="38" t="s">
        <v>11</v>
      </c>
      <c r="E5" s="37" t="s">
        <v>181</v>
      </c>
      <c r="F5" s="37" t="s">
        <v>1</v>
      </c>
      <c r="G5" s="118">
        <f>'ΑΝΑΛΥΣΗ ΚΟΣΤΟΥΣ'!H29</f>
        <v>9950</v>
      </c>
      <c r="H5" s="119">
        <v>43374</v>
      </c>
      <c r="I5" s="119">
        <v>45291</v>
      </c>
      <c r="J5" s="20">
        <f>12*5+3</f>
        <v>63</v>
      </c>
      <c r="K5" s="118">
        <f>ΧΡΟΝΟΧΡΕΩΣΗ!G17</f>
        <v>1550</v>
      </c>
      <c r="L5" s="20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39"/>
      <c r="Y5" s="39"/>
    </row>
    <row r="6" spans="1:25" ht="24" x14ac:dyDescent="0.3">
      <c r="A6" s="37" t="s">
        <v>303</v>
      </c>
      <c r="B6" s="117" t="s">
        <v>222</v>
      </c>
      <c r="C6" s="37" t="s">
        <v>271</v>
      </c>
      <c r="D6" s="38" t="s">
        <v>201</v>
      </c>
      <c r="E6" s="37" t="s">
        <v>181</v>
      </c>
      <c r="F6" s="37" t="s">
        <v>1</v>
      </c>
      <c r="G6" s="118">
        <f>'ΑΝΑΛΥΣΗ ΚΟΣΤΟΥΣ'!I29</f>
        <v>17900</v>
      </c>
      <c r="H6" s="119">
        <v>43374</v>
      </c>
      <c r="I6" s="119">
        <v>45291</v>
      </c>
      <c r="J6" s="20">
        <f>5*12+3</f>
        <v>63</v>
      </c>
      <c r="K6" s="118">
        <f>ΧΡΟΝΟΧΡΕΩΣΗ!H17</f>
        <v>1470</v>
      </c>
      <c r="L6" s="20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39"/>
      <c r="Y6" s="39"/>
    </row>
    <row r="7" spans="1:25" ht="24" x14ac:dyDescent="0.3">
      <c r="A7" s="37" t="s">
        <v>304</v>
      </c>
      <c r="B7" s="117" t="s">
        <v>114</v>
      </c>
      <c r="C7" s="37" t="s">
        <v>272</v>
      </c>
      <c r="D7" s="38" t="s">
        <v>251</v>
      </c>
      <c r="E7" s="37" t="s">
        <v>181</v>
      </c>
      <c r="F7" s="37" t="s">
        <v>1</v>
      </c>
      <c r="G7" s="118">
        <f>'ΑΝΑΛΥΣΗ ΚΟΣΤΟΥΣ'!J29</f>
        <v>53000</v>
      </c>
      <c r="H7" s="119">
        <v>43647</v>
      </c>
      <c r="I7" s="119">
        <v>45291</v>
      </c>
      <c r="J7" s="20">
        <f>5*12-6</f>
        <v>54</v>
      </c>
      <c r="K7" s="118">
        <f>ΧΡΟΝΟΧΡΕΩΣΗ!I17</f>
        <v>6140</v>
      </c>
      <c r="L7" s="20"/>
      <c r="M7" s="20"/>
      <c r="N7" s="20"/>
      <c r="O7" s="116"/>
      <c r="P7" s="116"/>
      <c r="Q7" s="116"/>
      <c r="R7" s="116"/>
      <c r="S7" s="116"/>
      <c r="T7" s="116"/>
      <c r="U7" s="116"/>
      <c r="V7" s="116"/>
      <c r="W7" s="116"/>
      <c r="X7" s="39"/>
      <c r="Y7" s="39"/>
    </row>
    <row r="8" spans="1:25" ht="24" x14ac:dyDescent="0.3">
      <c r="A8" s="37" t="s">
        <v>304</v>
      </c>
      <c r="B8" s="117" t="s">
        <v>114</v>
      </c>
      <c r="C8" s="37" t="s">
        <v>272</v>
      </c>
      <c r="D8" s="38" t="s">
        <v>251</v>
      </c>
      <c r="E8" s="37" t="s">
        <v>146</v>
      </c>
      <c r="F8" s="37" t="s">
        <v>3</v>
      </c>
      <c r="G8" s="118">
        <f>'ΑΝΑΛΥΣΗ ΚΟΣΤΟΥΣ'!J31</f>
        <v>75000</v>
      </c>
      <c r="H8" s="119">
        <v>44440</v>
      </c>
      <c r="I8" s="119">
        <v>45291</v>
      </c>
      <c r="J8" s="20">
        <f>2*12+4</f>
        <v>28</v>
      </c>
      <c r="K8" s="20"/>
      <c r="L8" s="20"/>
      <c r="M8" s="20"/>
      <c r="N8" s="20"/>
      <c r="O8" s="20"/>
      <c r="P8" s="20"/>
      <c r="Q8" s="20"/>
      <c r="R8" s="20"/>
      <c r="S8" s="116"/>
      <c r="T8" s="116"/>
      <c r="U8" s="116"/>
      <c r="V8" s="116"/>
      <c r="W8" s="116"/>
      <c r="X8" s="39"/>
      <c r="Y8" s="39"/>
    </row>
    <row r="9" spans="1:25" ht="24" x14ac:dyDescent="0.3">
      <c r="A9" s="37" t="s">
        <v>304</v>
      </c>
      <c r="B9" s="117" t="s">
        <v>114</v>
      </c>
      <c r="C9" s="37" t="s">
        <v>272</v>
      </c>
      <c r="D9" s="38" t="s">
        <v>251</v>
      </c>
      <c r="E9" s="37" t="s">
        <v>145</v>
      </c>
      <c r="F9" s="37" t="s">
        <v>2</v>
      </c>
      <c r="G9" s="118">
        <f>'ΑΝΑΛΥΣΗ ΚΟΣΤΟΥΣ'!J35</f>
        <v>35000</v>
      </c>
      <c r="H9" s="119">
        <v>43831</v>
      </c>
      <c r="I9" s="119">
        <v>44012</v>
      </c>
      <c r="J9" s="20">
        <v>6</v>
      </c>
      <c r="K9" s="20"/>
      <c r="L9" s="20"/>
      <c r="M9" s="20"/>
      <c r="N9" s="20"/>
      <c r="O9" s="20"/>
      <c r="P9" s="116"/>
      <c r="Q9" s="20"/>
      <c r="R9" s="20"/>
      <c r="S9" s="20"/>
      <c r="T9" s="20"/>
      <c r="U9" s="20"/>
      <c r="V9" s="20"/>
      <c r="W9" s="20"/>
      <c r="X9" s="39"/>
      <c r="Y9" s="39"/>
    </row>
    <row r="10" spans="1:25" ht="24" x14ac:dyDescent="0.3">
      <c r="A10" s="37" t="s">
        <v>304</v>
      </c>
      <c r="B10" s="117" t="s">
        <v>114</v>
      </c>
      <c r="C10" s="37" t="s">
        <v>274</v>
      </c>
      <c r="D10" s="38" t="s">
        <v>13</v>
      </c>
      <c r="E10" s="37" t="s">
        <v>147</v>
      </c>
      <c r="F10" s="37" t="s">
        <v>4</v>
      </c>
      <c r="G10" s="118">
        <f>'ΑΝΑΛΥΣΗ ΚΟΣΤΟΥΣ'!K36</f>
        <v>80000</v>
      </c>
      <c r="H10" s="119">
        <v>43739</v>
      </c>
      <c r="I10" s="119">
        <v>44196</v>
      </c>
      <c r="J10" s="20">
        <f>12+3</f>
        <v>15</v>
      </c>
      <c r="K10" s="20"/>
      <c r="L10" s="20"/>
      <c r="M10" s="20"/>
      <c r="N10" s="20"/>
      <c r="O10" s="116"/>
      <c r="P10" s="116"/>
      <c r="Q10" s="116"/>
      <c r="R10" s="20"/>
      <c r="S10" s="20"/>
      <c r="T10" s="20"/>
      <c r="U10" s="20"/>
      <c r="V10" s="20"/>
      <c r="W10" s="20"/>
      <c r="X10" s="39"/>
      <c r="Y10" s="39"/>
    </row>
    <row r="11" spans="1:25" ht="35.4" x14ac:dyDescent="0.3">
      <c r="A11" s="37" t="s">
        <v>304</v>
      </c>
      <c r="B11" s="117" t="s">
        <v>114</v>
      </c>
      <c r="C11" s="37" t="s">
        <v>275</v>
      </c>
      <c r="D11" s="38" t="s">
        <v>14</v>
      </c>
      <c r="E11" s="37" t="s">
        <v>181</v>
      </c>
      <c r="F11" s="37" t="s">
        <v>1</v>
      </c>
      <c r="G11" s="118">
        <f>'ΑΝΑΛΥΣΗ ΚΟΣΤΟΥΣ'!L29</f>
        <v>31400</v>
      </c>
      <c r="H11" s="119">
        <v>43466</v>
      </c>
      <c r="I11" s="119">
        <v>44561</v>
      </c>
      <c r="J11" s="20">
        <f>3*12</f>
        <v>36</v>
      </c>
      <c r="K11" s="118">
        <f>ΧΡΟΝΟΧΡΕΩΣΗ!K17</f>
        <v>3800</v>
      </c>
      <c r="L11" s="20"/>
      <c r="M11" s="20"/>
      <c r="N11" s="116"/>
      <c r="O11" s="116"/>
      <c r="P11" s="116"/>
      <c r="Q11" s="116"/>
      <c r="R11" s="116"/>
      <c r="S11" s="116"/>
      <c r="T11" s="20"/>
      <c r="U11" s="20"/>
      <c r="V11" s="20"/>
      <c r="W11" s="20"/>
      <c r="X11" s="39"/>
      <c r="Y11" s="39"/>
    </row>
    <row r="12" spans="1:25" ht="35.4" x14ac:dyDescent="0.3">
      <c r="A12" s="37" t="s">
        <v>304</v>
      </c>
      <c r="B12" s="117" t="s">
        <v>114</v>
      </c>
      <c r="C12" s="37" t="s">
        <v>275</v>
      </c>
      <c r="D12" s="38" t="s">
        <v>14</v>
      </c>
      <c r="E12" s="37" t="s">
        <v>148</v>
      </c>
      <c r="F12" s="37" t="s">
        <v>2</v>
      </c>
      <c r="G12" s="118">
        <f>'ΑΝΑΛΥΣΗ ΚΟΣΤΟΥΣ'!L32</f>
        <v>30000</v>
      </c>
      <c r="H12" s="119">
        <v>43739</v>
      </c>
      <c r="I12" s="119">
        <v>43830</v>
      </c>
      <c r="J12" s="20">
        <v>3</v>
      </c>
      <c r="K12" s="20"/>
      <c r="L12" s="20"/>
      <c r="M12" s="20"/>
      <c r="N12" s="20"/>
      <c r="O12" s="116"/>
      <c r="P12" s="20"/>
      <c r="Q12" s="20"/>
      <c r="R12" s="20"/>
      <c r="S12" s="20"/>
      <c r="T12" s="20"/>
      <c r="U12" s="20"/>
      <c r="V12" s="20"/>
      <c r="W12" s="20"/>
      <c r="X12" s="39"/>
      <c r="Y12" s="39"/>
    </row>
    <row r="13" spans="1:25" ht="24" x14ac:dyDescent="0.3">
      <c r="A13" s="37" t="s">
        <v>305</v>
      </c>
      <c r="B13" s="117" t="s">
        <v>157</v>
      </c>
      <c r="C13" s="37" t="s">
        <v>276</v>
      </c>
      <c r="D13" s="38" t="s">
        <v>156</v>
      </c>
      <c r="E13" s="37" t="s">
        <v>149</v>
      </c>
      <c r="F13" s="37" t="s">
        <v>4</v>
      </c>
      <c r="G13" s="118">
        <f>'ΑΝΑΛΥΣΗ ΚΟΣΤΟΥΣ'!M33</f>
        <v>75000</v>
      </c>
      <c r="H13" s="119">
        <v>43647</v>
      </c>
      <c r="I13" s="119">
        <v>44196</v>
      </c>
      <c r="J13" s="20">
        <v>18</v>
      </c>
      <c r="K13" s="20"/>
      <c r="L13" s="20"/>
      <c r="M13" s="20"/>
      <c r="N13" s="20"/>
      <c r="O13" s="116"/>
      <c r="P13" s="116"/>
      <c r="Q13" s="116"/>
      <c r="R13" s="20"/>
      <c r="S13" s="20"/>
      <c r="T13" s="20"/>
      <c r="U13" s="20"/>
      <c r="V13" s="20"/>
      <c r="W13" s="20"/>
      <c r="X13" s="39"/>
      <c r="Y13" s="39"/>
    </row>
    <row r="14" spans="1:25" ht="24" x14ac:dyDescent="0.3">
      <c r="A14" s="37" t="s">
        <v>305</v>
      </c>
      <c r="B14" s="117" t="s">
        <v>157</v>
      </c>
      <c r="C14" s="37" t="s">
        <v>276</v>
      </c>
      <c r="D14" s="38" t="s">
        <v>156</v>
      </c>
      <c r="E14" s="37" t="s">
        <v>150</v>
      </c>
      <c r="F14" s="37" t="s">
        <v>5</v>
      </c>
      <c r="G14" s="118">
        <f>'ΑΝΑΛΥΣΗ ΚΟΣΤΟΥΣ'!M34</f>
        <v>124000</v>
      </c>
      <c r="H14" s="119">
        <v>44562</v>
      </c>
      <c r="I14" s="119">
        <v>45107</v>
      </c>
      <c r="J14" s="20">
        <v>18</v>
      </c>
      <c r="K14" s="20"/>
      <c r="L14" s="20"/>
      <c r="M14" s="20"/>
      <c r="N14" s="20"/>
      <c r="O14" s="20"/>
      <c r="P14" s="20"/>
      <c r="Q14" s="20"/>
      <c r="R14" s="20"/>
      <c r="S14" s="20"/>
      <c r="T14" s="116"/>
      <c r="U14" s="116"/>
      <c r="V14" s="116"/>
      <c r="W14" s="20"/>
      <c r="X14" s="39"/>
      <c r="Y14" s="39"/>
    </row>
    <row r="15" spans="1:25" x14ac:dyDescent="0.3">
      <c r="A15" s="37" t="s">
        <v>305</v>
      </c>
      <c r="B15" s="117" t="s">
        <v>157</v>
      </c>
      <c r="C15" s="37" t="s">
        <v>278</v>
      </c>
      <c r="D15" s="38" t="s">
        <v>18</v>
      </c>
      <c r="E15" s="37" t="s">
        <v>181</v>
      </c>
      <c r="F15" s="37" t="s">
        <v>1</v>
      </c>
      <c r="G15" s="118">
        <f>'ΑΝΑΛΥΣΗ ΚΟΣΤΟΥΣ'!N29</f>
        <v>11800</v>
      </c>
      <c r="H15" s="119">
        <v>43466</v>
      </c>
      <c r="I15" s="119">
        <v>45291</v>
      </c>
      <c r="J15" s="20">
        <f>5*12</f>
        <v>60</v>
      </c>
      <c r="K15" s="118">
        <f>ΧΡΟΝΟΧΡΕΩΣΗ!M17</f>
        <v>240</v>
      </c>
      <c r="L15" s="20"/>
      <c r="M15" s="20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0"/>
      <c r="Y15" s="10"/>
    </row>
    <row r="16" spans="1:25" x14ac:dyDescent="0.3">
      <c r="A16" s="143" t="s">
        <v>305</v>
      </c>
      <c r="B16" s="144" t="s">
        <v>157</v>
      </c>
      <c r="C16" s="143" t="s">
        <v>278</v>
      </c>
      <c r="D16" s="145" t="s">
        <v>18</v>
      </c>
      <c r="E16" s="143" t="s">
        <v>145</v>
      </c>
      <c r="F16" s="143" t="s">
        <v>2</v>
      </c>
      <c r="G16" s="146">
        <f>'ΑΝΑΛΥΣΗ ΚΟΣΤΟΥΣ'!N35</f>
        <v>40000</v>
      </c>
      <c r="H16" s="147">
        <v>43831</v>
      </c>
      <c r="I16" s="147">
        <v>44012</v>
      </c>
      <c r="J16" s="148">
        <v>6</v>
      </c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0"/>
      <c r="Y16" s="10"/>
    </row>
    <row r="17" spans="1:25" x14ac:dyDescent="0.3">
      <c r="A17" s="143" t="s">
        <v>305</v>
      </c>
      <c r="B17" s="144" t="s">
        <v>157</v>
      </c>
      <c r="C17" s="143" t="s">
        <v>278</v>
      </c>
      <c r="D17" s="145" t="s">
        <v>18</v>
      </c>
      <c r="E17" s="143" t="s">
        <v>250</v>
      </c>
      <c r="F17" s="143" t="s">
        <v>2</v>
      </c>
      <c r="G17" s="146">
        <f>+'ΑΝΑΛΥΣΗ ΚΟΣΤΟΥΣ'!N38</f>
        <v>80000</v>
      </c>
      <c r="H17" s="147">
        <v>43831</v>
      </c>
      <c r="I17" s="147">
        <v>44012</v>
      </c>
      <c r="J17" s="148">
        <v>6</v>
      </c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39"/>
      <c r="Y17" s="39"/>
    </row>
    <row r="18" spans="1:25" ht="24" x14ac:dyDescent="0.3">
      <c r="A18" s="37" t="s">
        <v>305</v>
      </c>
      <c r="B18" s="117" t="s">
        <v>157</v>
      </c>
      <c r="C18" s="37" t="s">
        <v>282</v>
      </c>
      <c r="D18" s="38" t="s">
        <v>323</v>
      </c>
      <c r="E18" s="37" t="s">
        <v>151</v>
      </c>
      <c r="F18" s="37" t="s">
        <v>5</v>
      </c>
      <c r="G18" s="118">
        <f>'ΑΝΑΛΥΣΗ ΚΟΣΤΟΥΣ'!O37</f>
        <v>115000</v>
      </c>
      <c r="H18" s="119">
        <v>43831</v>
      </c>
      <c r="I18" s="119">
        <v>44561</v>
      </c>
      <c r="J18" s="20">
        <f>2*12</f>
        <v>24</v>
      </c>
      <c r="K18" s="20"/>
      <c r="L18" s="20"/>
      <c r="M18" s="20"/>
      <c r="N18" s="20"/>
      <c r="O18" s="20"/>
      <c r="P18" s="116"/>
      <c r="Q18" s="116"/>
      <c r="R18" s="116"/>
      <c r="S18" s="116"/>
      <c r="T18" s="20"/>
      <c r="U18" s="20"/>
      <c r="V18" s="20"/>
      <c r="W18" s="20"/>
      <c r="X18" s="39"/>
      <c r="Y18" s="39"/>
    </row>
    <row r="19" spans="1:25" ht="24" x14ac:dyDescent="0.3">
      <c r="A19" s="37" t="s">
        <v>305</v>
      </c>
      <c r="B19" s="117" t="s">
        <v>157</v>
      </c>
      <c r="C19" s="37" t="s">
        <v>283</v>
      </c>
      <c r="D19" s="38" t="s">
        <v>19</v>
      </c>
      <c r="E19" s="37" t="s">
        <v>181</v>
      </c>
      <c r="F19" s="37" t="s">
        <v>1</v>
      </c>
      <c r="G19" s="118">
        <f>'ΑΝΑΛΥΣΗ ΚΟΣΤΟΥΣ'!P29</f>
        <v>43600</v>
      </c>
      <c r="H19" s="119">
        <v>43466</v>
      </c>
      <c r="I19" s="119">
        <v>45291</v>
      </c>
      <c r="J19" s="20">
        <f>5*12</f>
        <v>60</v>
      </c>
      <c r="K19" s="118">
        <f>ΧΡΟΝΟΧΡΕΩΣΗ!O17</f>
        <v>2160</v>
      </c>
      <c r="L19" s="20"/>
      <c r="M19" s="20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39"/>
      <c r="Y19" s="39"/>
    </row>
    <row r="20" spans="1:25" ht="24" x14ac:dyDescent="0.3">
      <c r="A20" s="37" t="s">
        <v>305</v>
      </c>
      <c r="B20" s="117" t="s">
        <v>157</v>
      </c>
      <c r="C20" s="37" t="s">
        <v>283</v>
      </c>
      <c r="D20" s="38" t="s">
        <v>19</v>
      </c>
      <c r="E20" s="37" t="s">
        <v>148</v>
      </c>
      <c r="F20" s="37" t="s">
        <v>2</v>
      </c>
      <c r="G20" s="118">
        <f>'ΑΝΑΛΥΣΗ ΚΟΣΤΟΥΣ'!P32</f>
        <v>25000</v>
      </c>
      <c r="H20" s="119">
        <v>43739</v>
      </c>
      <c r="I20" s="119">
        <v>43830</v>
      </c>
      <c r="J20" s="20">
        <v>3</v>
      </c>
      <c r="K20" s="20"/>
      <c r="L20" s="20"/>
      <c r="M20" s="20"/>
      <c r="N20" s="20"/>
      <c r="O20" s="116"/>
      <c r="P20" s="20"/>
      <c r="Q20" s="20"/>
      <c r="R20" s="20"/>
      <c r="S20" s="20"/>
      <c r="T20" s="20"/>
      <c r="U20" s="20"/>
      <c r="V20" s="20"/>
      <c r="W20" s="20"/>
      <c r="X20" s="39"/>
      <c r="Y20" s="39"/>
    </row>
    <row r="21" spans="1:25" ht="35.4" x14ac:dyDescent="0.3">
      <c r="A21" s="37" t="s">
        <v>305</v>
      </c>
      <c r="B21" s="117" t="s">
        <v>157</v>
      </c>
      <c r="C21" s="37" t="s">
        <v>285</v>
      </c>
      <c r="D21" s="38" t="s">
        <v>21</v>
      </c>
      <c r="E21" s="37" t="s">
        <v>181</v>
      </c>
      <c r="F21" s="37" t="s">
        <v>1</v>
      </c>
      <c r="G21" s="118">
        <f>'ΑΝΑΛΥΣΗ ΚΟΣΤΟΥΣ'!Q29</f>
        <v>66950</v>
      </c>
      <c r="H21" s="119">
        <v>43466</v>
      </c>
      <c r="I21" s="119">
        <v>45291</v>
      </c>
      <c r="J21" s="20">
        <f>12*5</f>
        <v>60</v>
      </c>
      <c r="K21" s="118">
        <f>ΧΡΟΝΟΧΡΕΩΣΗ!P17</f>
        <v>3200</v>
      </c>
      <c r="L21" s="20"/>
      <c r="M21" s="20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39"/>
      <c r="Y21" s="39"/>
    </row>
    <row r="22" spans="1:25" x14ac:dyDescent="0.3">
      <c r="A22" s="37" t="s">
        <v>339</v>
      </c>
      <c r="B22" s="117" t="s">
        <v>341</v>
      </c>
      <c r="C22" s="37" t="s">
        <v>342</v>
      </c>
      <c r="D22" s="38" t="s">
        <v>344</v>
      </c>
      <c r="E22" s="37" t="s">
        <v>181</v>
      </c>
      <c r="F22" s="37" t="s">
        <v>1</v>
      </c>
      <c r="G22" s="118">
        <f>'ΑΝΑΛΥΣΗ ΚΟΣΤΟΥΣ'!Q30</f>
        <v>0</v>
      </c>
      <c r="H22" s="119">
        <v>44562</v>
      </c>
      <c r="I22" s="119">
        <v>45291</v>
      </c>
      <c r="J22" s="20">
        <f>12*5</f>
        <v>60</v>
      </c>
      <c r="K22" s="118">
        <f>ΧΡΟΝΟΧΡΕΩΣΗ!P18</f>
        <v>20958.139534883721</v>
      </c>
      <c r="L22" s="20"/>
      <c r="M22" s="20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39"/>
      <c r="Y22" s="39"/>
    </row>
    <row r="23" spans="1:25" x14ac:dyDescent="0.3">
      <c r="A23" s="37" t="s">
        <v>339</v>
      </c>
      <c r="B23" s="117" t="s">
        <v>341</v>
      </c>
      <c r="C23" s="37" t="s">
        <v>343</v>
      </c>
      <c r="D23" s="38" t="s">
        <v>345</v>
      </c>
      <c r="E23" s="37" t="s">
        <v>181</v>
      </c>
      <c r="F23" s="37" t="s">
        <v>190</v>
      </c>
      <c r="G23" s="118">
        <f>'ΑΝΑΛΥΣΗ ΚΟΣΤΟΥΣ'!Q31</f>
        <v>0</v>
      </c>
      <c r="H23" s="119">
        <v>44562</v>
      </c>
      <c r="I23" s="119">
        <v>45291</v>
      </c>
      <c r="J23" s="20">
        <f>12*5</f>
        <v>60</v>
      </c>
      <c r="K23" s="118">
        <f>ΧΡΟΝΟΧΡΕΩΣΗ!P19</f>
        <v>0</v>
      </c>
      <c r="L23" s="20"/>
      <c r="M23" s="20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39"/>
      <c r="Y23" s="39"/>
    </row>
    <row r="24" spans="1:25" x14ac:dyDescent="0.3">
      <c r="G24" s="36">
        <f>SUM(G2:G21)</f>
        <v>1000000</v>
      </c>
      <c r="K24" s="3">
        <f>SUM(K2:K21)</f>
        <v>20640</v>
      </c>
    </row>
    <row r="25" spans="1:25" x14ac:dyDescent="0.3">
      <c r="A25" s="18"/>
      <c r="B25" s="64"/>
      <c r="C25" s="18"/>
      <c r="D25" s="19"/>
      <c r="E25" s="18"/>
      <c r="F25" s="18"/>
      <c r="G25" s="16"/>
      <c r="H25" s="16"/>
      <c r="I25" s="16"/>
      <c r="J25" s="16"/>
      <c r="K25" s="115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1:25" x14ac:dyDescent="0.3">
      <c r="A26" s="18"/>
      <c r="B26" s="64"/>
      <c r="C26" s="18"/>
      <c r="D26" s="19"/>
      <c r="E26" s="18"/>
      <c r="F26" s="18"/>
      <c r="G26" s="16"/>
      <c r="H26" s="16"/>
      <c r="I26" s="16"/>
      <c r="J26" s="16"/>
      <c r="K26" s="115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</sheetData>
  <autoFilter ref="A1:W24"/>
  <sortState ref="A2:W24">
    <sortCondition ref="C1"/>
  </sortState>
  <pageMargins left="0.70866141732283472" right="0.70866141732283472" top="0.74803149606299213" bottom="0.74803149606299213" header="0.31496062992125984" footer="0.31496062992125984"/>
  <pageSetup paperSize="8" scale="61" fitToHeight="0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Φύλλο1!$C$2:$C$6</xm:f>
          </x14:formula1>
          <xm:sqref>F1:F26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selection activeCell="R24" sqref="A1:R24"/>
    </sheetView>
  </sheetViews>
  <sheetFormatPr defaultRowHeight="14.4" x14ac:dyDescent="0.3"/>
  <cols>
    <col min="1" max="1" width="5.33203125" customWidth="1"/>
    <col min="2" max="2" width="28.5546875" bestFit="1" customWidth="1"/>
    <col min="3" max="3" width="31.109375" customWidth="1"/>
    <col min="4" max="4" width="11.44140625" customWidth="1"/>
    <col min="5" max="5" width="17.44140625" customWidth="1"/>
    <col min="9" max="9" width="9.109375" style="3"/>
    <col min="10" max="10" width="12.88671875" style="3" customWidth="1"/>
    <col min="11" max="12" width="9.109375" style="3"/>
    <col min="13" max="13" width="10.109375" customWidth="1"/>
    <col min="14" max="14" width="11.33203125" style="35" customWidth="1"/>
    <col min="16" max="16" width="9.88671875" customWidth="1"/>
    <col min="17" max="17" width="10.109375" customWidth="1"/>
    <col min="18" max="18" width="10" customWidth="1"/>
  </cols>
  <sheetData>
    <row r="1" spans="1:18" s="114" customFormat="1" ht="68.400000000000006" x14ac:dyDescent="0.3">
      <c r="A1" s="113" t="s">
        <v>62</v>
      </c>
      <c r="B1" s="113" t="s">
        <v>111</v>
      </c>
      <c r="C1" s="113" t="s">
        <v>74</v>
      </c>
      <c r="D1" s="113" t="s">
        <v>310</v>
      </c>
      <c r="E1" s="113" t="s">
        <v>75</v>
      </c>
      <c r="F1" s="113" t="s">
        <v>81</v>
      </c>
      <c r="G1" s="113" t="s">
        <v>115</v>
      </c>
      <c r="H1" s="113" t="s">
        <v>311</v>
      </c>
      <c r="I1" s="113" t="s">
        <v>312</v>
      </c>
      <c r="J1" s="113" t="s">
        <v>313</v>
      </c>
      <c r="K1" s="113" t="s">
        <v>152</v>
      </c>
      <c r="L1" s="113" t="s">
        <v>153</v>
      </c>
      <c r="M1" s="113" t="s">
        <v>82</v>
      </c>
      <c r="N1" s="113" t="s">
        <v>116</v>
      </c>
      <c r="O1" s="113" t="s">
        <v>77</v>
      </c>
      <c r="P1" s="113" t="s">
        <v>78</v>
      </c>
      <c r="Q1" s="113" t="s">
        <v>76</v>
      </c>
      <c r="R1" s="113" t="s">
        <v>79</v>
      </c>
    </row>
    <row r="2" spans="1:18" x14ac:dyDescent="0.3">
      <c r="A2" s="1">
        <v>1</v>
      </c>
      <c r="B2" s="1" t="s">
        <v>256</v>
      </c>
      <c r="C2" s="1" t="s">
        <v>80</v>
      </c>
      <c r="D2" s="1" t="s">
        <v>145</v>
      </c>
      <c r="E2" s="1" t="s">
        <v>314</v>
      </c>
      <c r="F2" s="1"/>
      <c r="G2" s="1" t="s">
        <v>72</v>
      </c>
      <c r="H2" s="1">
        <v>1</v>
      </c>
      <c r="I2" s="12">
        <v>8000</v>
      </c>
      <c r="J2" s="12">
        <v>8000</v>
      </c>
      <c r="K2" s="12">
        <f>J2*0.76</f>
        <v>6080</v>
      </c>
      <c r="L2" s="12">
        <f>J2*0.24</f>
        <v>1920</v>
      </c>
      <c r="M2" s="1"/>
      <c r="N2" s="2"/>
      <c r="O2" s="1"/>
      <c r="P2" s="1"/>
      <c r="Q2" s="1"/>
      <c r="R2" s="1"/>
    </row>
    <row r="3" spans="1:18" x14ac:dyDescent="0.3">
      <c r="A3" s="1">
        <v>2</v>
      </c>
      <c r="B3" s="1" t="s">
        <v>256</v>
      </c>
      <c r="C3" s="1" t="s">
        <v>110</v>
      </c>
      <c r="D3" s="1" t="s">
        <v>145</v>
      </c>
      <c r="E3" s="1" t="s">
        <v>314</v>
      </c>
      <c r="F3" s="1"/>
      <c r="G3" s="1" t="s">
        <v>72</v>
      </c>
      <c r="H3" s="1">
        <v>2</v>
      </c>
      <c r="I3" s="12">
        <v>500</v>
      </c>
      <c r="J3" s="12">
        <f>H3*I3</f>
        <v>1000</v>
      </c>
      <c r="K3" s="12">
        <f>J3*0.76</f>
        <v>760</v>
      </c>
      <c r="L3" s="12">
        <f>J3*0.24</f>
        <v>240</v>
      </c>
      <c r="M3" s="1"/>
      <c r="N3" s="2"/>
      <c r="O3" s="1"/>
      <c r="P3" s="1"/>
      <c r="Q3" s="1"/>
      <c r="R3" s="1"/>
    </row>
    <row r="4" spans="1:18" x14ac:dyDescent="0.3">
      <c r="A4" s="1"/>
      <c r="B4" s="1"/>
      <c r="C4" s="1" t="s">
        <v>155</v>
      </c>
      <c r="D4" s="1" t="s">
        <v>155</v>
      </c>
      <c r="E4" s="1" t="s">
        <v>155</v>
      </c>
      <c r="F4" s="1"/>
      <c r="G4" s="1"/>
      <c r="H4" s="1"/>
      <c r="I4" s="12"/>
      <c r="J4" s="12"/>
      <c r="K4" s="12"/>
      <c r="L4" s="12"/>
      <c r="M4" s="1"/>
      <c r="N4" s="2"/>
      <c r="O4" s="1"/>
      <c r="P4" s="1"/>
      <c r="Q4" s="1"/>
      <c r="R4" s="1"/>
    </row>
    <row r="5" spans="1:18" x14ac:dyDescent="0.3">
      <c r="A5" s="1"/>
      <c r="B5" s="1"/>
      <c r="C5" s="1"/>
      <c r="D5" s="1"/>
      <c r="E5" s="1"/>
      <c r="F5" s="1"/>
      <c r="G5" s="1"/>
      <c r="H5" s="1"/>
      <c r="I5" s="12"/>
      <c r="J5" s="12"/>
      <c r="K5" s="12"/>
      <c r="L5" s="12"/>
      <c r="M5" s="1"/>
      <c r="N5" s="2"/>
      <c r="O5" s="1"/>
      <c r="P5" s="1"/>
      <c r="Q5" s="1"/>
      <c r="R5" s="1"/>
    </row>
    <row r="6" spans="1:18" x14ac:dyDescent="0.3">
      <c r="A6" s="1"/>
      <c r="B6" s="1"/>
      <c r="C6" s="1"/>
      <c r="D6" s="1"/>
      <c r="E6" s="1"/>
      <c r="F6" s="1"/>
      <c r="G6" s="1"/>
      <c r="H6" s="1"/>
      <c r="I6" s="12"/>
      <c r="J6" s="12"/>
      <c r="K6" s="12"/>
      <c r="L6" s="12"/>
      <c r="M6" s="1"/>
      <c r="N6" s="2"/>
      <c r="O6" s="1"/>
      <c r="P6" s="1"/>
      <c r="Q6" s="1"/>
      <c r="R6" s="1"/>
    </row>
    <row r="7" spans="1:18" x14ac:dyDescent="0.3">
      <c r="A7" s="1"/>
      <c r="B7" s="1"/>
      <c r="C7" s="1"/>
      <c r="D7" s="1"/>
      <c r="E7" s="1"/>
      <c r="F7" s="1"/>
      <c r="G7" s="1"/>
      <c r="H7" s="1"/>
      <c r="I7" s="12"/>
      <c r="J7" s="12"/>
      <c r="K7" s="12"/>
      <c r="L7" s="12"/>
      <c r="M7" s="1"/>
      <c r="N7" s="2"/>
      <c r="O7" s="1"/>
      <c r="P7" s="1"/>
      <c r="Q7" s="1"/>
      <c r="R7" s="1"/>
    </row>
    <row r="8" spans="1:18" x14ac:dyDescent="0.3">
      <c r="A8" s="1"/>
      <c r="B8" s="1"/>
      <c r="C8" s="1"/>
      <c r="D8" s="1"/>
      <c r="E8" s="1"/>
      <c r="F8" s="1"/>
      <c r="G8" s="1"/>
      <c r="H8" s="1"/>
      <c r="I8" s="12"/>
      <c r="J8" s="12"/>
      <c r="K8" s="12"/>
      <c r="L8" s="12"/>
      <c r="M8" s="1"/>
      <c r="N8" s="2"/>
      <c r="O8" s="1"/>
      <c r="P8" s="1"/>
      <c r="Q8" s="1"/>
      <c r="R8" s="1"/>
    </row>
    <row r="9" spans="1:18" x14ac:dyDescent="0.3">
      <c r="A9" s="1"/>
      <c r="B9" s="1"/>
      <c r="C9" s="1"/>
      <c r="D9" s="1"/>
      <c r="E9" s="1"/>
      <c r="F9" s="1"/>
      <c r="G9" s="1"/>
      <c r="H9" s="1"/>
      <c r="I9" s="12"/>
      <c r="J9" s="12"/>
      <c r="K9" s="12"/>
      <c r="L9" s="12"/>
      <c r="M9" s="1"/>
      <c r="N9" s="2"/>
      <c r="O9" s="1"/>
      <c r="P9" s="1"/>
      <c r="Q9" s="1"/>
      <c r="R9" s="1"/>
    </row>
    <row r="10" spans="1:18" x14ac:dyDescent="0.3">
      <c r="A10" s="1"/>
      <c r="B10" s="1"/>
      <c r="C10" s="1"/>
      <c r="D10" s="1"/>
      <c r="E10" s="1"/>
      <c r="F10" s="1"/>
      <c r="G10" s="1"/>
      <c r="H10" s="1"/>
      <c r="I10" s="12"/>
      <c r="J10" s="12"/>
      <c r="K10" s="12"/>
      <c r="L10" s="12"/>
      <c r="M10" s="1"/>
      <c r="N10" s="2"/>
      <c r="O10" s="1"/>
      <c r="P10" s="1"/>
      <c r="Q10" s="1"/>
      <c r="R10" s="1"/>
    </row>
    <row r="11" spans="1:18" x14ac:dyDescent="0.3">
      <c r="A11" s="1"/>
      <c r="B11" s="1"/>
      <c r="C11" s="1"/>
      <c r="D11" s="1"/>
      <c r="E11" s="1"/>
      <c r="F11" s="1"/>
      <c r="G11" s="1"/>
      <c r="H11" s="1"/>
      <c r="I11" s="12"/>
      <c r="J11" s="12"/>
      <c r="K11" s="12"/>
      <c r="L11" s="12"/>
      <c r="M11" s="1"/>
      <c r="N11" s="2"/>
      <c r="O11" s="1"/>
      <c r="P11" s="1"/>
      <c r="Q11" s="1"/>
      <c r="R11" s="1"/>
    </row>
    <row r="12" spans="1:18" x14ac:dyDescent="0.3">
      <c r="A12" s="1"/>
      <c r="B12" s="1"/>
      <c r="C12" s="1"/>
      <c r="D12" s="1"/>
      <c r="E12" s="1"/>
      <c r="F12" s="1"/>
      <c r="G12" s="1"/>
      <c r="H12" s="1"/>
      <c r="I12" s="12"/>
      <c r="J12" s="12"/>
      <c r="K12" s="12"/>
      <c r="L12" s="12"/>
      <c r="M12" s="1"/>
      <c r="N12" s="2"/>
      <c r="O12" s="1"/>
      <c r="P12" s="1"/>
      <c r="Q12" s="1"/>
      <c r="R12" s="1"/>
    </row>
    <row r="13" spans="1:18" x14ac:dyDescent="0.3">
      <c r="A13" s="1"/>
      <c r="B13" s="1"/>
      <c r="C13" s="1"/>
      <c r="D13" s="1"/>
      <c r="E13" s="1"/>
      <c r="F13" s="1"/>
      <c r="G13" s="1"/>
      <c r="H13" s="1"/>
      <c r="I13" s="12"/>
      <c r="J13" s="12"/>
      <c r="K13" s="12"/>
      <c r="L13" s="12"/>
      <c r="M13" s="1"/>
      <c r="N13" s="2"/>
      <c r="O13" s="1"/>
      <c r="P13" s="1"/>
      <c r="Q13" s="1"/>
      <c r="R13" s="1"/>
    </row>
    <row r="14" spans="1:18" x14ac:dyDescent="0.3">
      <c r="A14" s="1"/>
      <c r="B14" s="1"/>
      <c r="C14" s="1"/>
      <c r="D14" s="1"/>
      <c r="E14" s="1"/>
      <c r="F14" s="1"/>
      <c r="G14" s="1"/>
      <c r="H14" s="1"/>
      <c r="I14" s="12"/>
      <c r="J14" s="12"/>
      <c r="K14" s="12"/>
      <c r="L14" s="12"/>
      <c r="M14" s="1"/>
      <c r="N14" s="2"/>
      <c r="O14" s="1"/>
      <c r="P14" s="1"/>
      <c r="Q14" s="1"/>
      <c r="R14" s="1"/>
    </row>
    <row r="15" spans="1:18" x14ac:dyDescent="0.3">
      <c r="A15" s="1"/>
      <c r="B15" s="1"/>
      <c r="C15" s="1"/>
      <c r="D15" s="1"/>
      <c r="E15" s="1"/>
      <c r="F15" s="1"/>
      <c r="G15" s="1"/>
      <c r="H15" s="1"/>
      <c r="I15" s="12"/>
      <c r="J15" s="12"/>
      <c r="K15" s="12"/>
      <c r="L15" s="12"/>
      <c r="M15" s="1"/>
      <c r="N15" s="2"/>
      <c r="O15" s="1"/>
      <c r="P15" s="1"/>
      <c r="Q15" s="1"/>
      <c r="R15" s="1"/>
    </row>
    <row r="16" spans="1:18" x14ac:dyDescent="0.3">
      <c r="A16" s="1"/>
      <c r="B16" s="1"/>
      <c r="C16" s="1"/>
      <c r="D16" s="1"/>
      <c r="E16" s="1"/>
      <c r="F16" s="1"/>
      <c r="G16" s="1"/>
      <c r="H16" s="1"/>
      <c r="I16" s="12"/>
      <c r="J16" s="12"/>
      <c r="K16" s="12"/>
      <c r="L16" s="12"/>
      <c r="M16" s="1"/>
      <c r="N16" s="2"/>
      <c r="O16" s="1"/>
      <c r="P16" s="1"/>
      <c r="Q16" s="1"/>
      <c r="R16" s="1"/>
    </row>
    <row r="17" spans="1:18" x14ac:dyDescent="0.3">
      <c r="A17" s="1"/>
      <c r="B17" s="1"/>
      <c r="C17" s="1"/>
      <c r="D17" s="1"/>
      <c r="E17" s="1"/>
      <c r="F17" s="1"/>
      <c r="G17" s="1"/>
      <c r="H17" s="1"/>
      <c r="I17" s="12"/>
      <c r="J17" s="12"/>
      <c r="K17" s="12"/>
      <c r="L17" s="12"/>
      <c r="M17" s="1"/>
      <c r="N17" s="2"/>
      <c r="O17" s="1"/>
      <c r="P17" s="1"/>
      <c r="Q17" s="1"/>
      <c r="R17" s="1"/>
    </row>
    <row r="18" spans="1:18" x14ac:dyDescent="0.3">
      <c r="A18" s="1"/>
      <c r="B18" s="1"/>
      <c r="C18" s="1"/>
      <c r="D18" s="1"/>
      <c r="E18" s="1"/>
      <c r="F18" s="1"/>
      <c r="G18" s="1"/>
      <c r="H18" s="1"/>
      <c r="I18" s="12"/>
      <c r="J18" s="12"/>
      <c r="K18" s="12"/>
      <c r="L18" s="12"/>
      <c r="M18" s="1"/>
      <c r="N18" s="2"/>
      <c r="O18" s="1"/>
      <c r="P18" s="1"/>
      <c r="Q18" s="1"/>
      <c r="R18" s="1"/>
    </row>
    <row r="19" spans="1:18" x14ac:dyDescent="0.3">
      <c r="A19" s="1"/>
      <c r="B19" s="1"/>
      <c r="C19" s="1"/>
      <c r="D19" s="1"/>
      <c r="E19" s="1"/>
      <c r="F19" s="1"/>
      <c r="G19" s="1"/>
      <c r="H19" s="1"/>
      <c r="I19" s="12"/>
      <c r="J19" s="12"/>
      <c r="K19" s="12"/>
      <c r="L19" s="12"/>
      <c r="M19" s="1"/>
      <c r="N19" s="2"/>
      <c r="O19" s="1"/>
      <c r="P19" s="1"/>
      <c r="Q19" s="1"/>
      <c r="R19" s="1"/>
    </row>
    <row r="20" spans="1:18" x14ac:dyDescent="0.3">
      <c r="A20" s="1"/>
      <c r="B20" s="1"/>
      <c r="C20" s="1"/>
      <c r="D20" s="1"/>
      <c r="E20" s="1"/>
      <c r="F20" s="1"/>
      <c r="G20" s="1"/>
      <c r="H20" s="1"/>
      <c r="I20" s="12"/>
      <c r="J20" s="12"/>
      <c r="K20" s="12"/>
      <c r="L20" s="12"/>
      <c r="M20" s="1"/>
      <c r="N20" s="2"/>
      <c r="O20" s="1"/>
      <c r="P20" s="1"/>
      <c r="Q20" s="1"/>
      <c r="R20" s="1"/>
    </row>
    <row r="22" spans="1:18" x14ac:dyDescent="0.3">
      <c r="C22" s="112" t="s">
        <v>247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8" x14ac:dyDescent="0.3">
      <c r="C23" s="112" t="s">
        <v>83</v>
      </c>
    </row>
    <row r="24" spans="1:18" x14ac:dyDescent="0.3">
      <c r="C24" s="112" t="s">
        <v>84</v>
      </c>
    </row>
  </sheetData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Φύλλο1!$G$3:$G$10</xm:f>
          </x14:formula1>
          <xm:sqref>B1:B1048576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workbookViewId="0">
      <selection activeCell="I11" sqref="I11"/>
    </sheetView>
  </sheetViews>
  <sheetFormatPr defaultRowHeight="14.4" x14ac:dyDescent="0.3"/>
  <cols>
    <col min="1" max="1" width="4.6640625" customWidth="1"/>
    <col min="2" max="2" width="21.33203125" customWidth="1"/>
    <col min="3" max="3" width="12.44140625" customWidth="1"/>
    <col min="4" max="4" width="13.88671875" customWidth="1"/>
    <col min="5" max="5" width="13" customWidth="1"/>
    <col min="6" max="6" width="13.33203125" customWidth="1"/>
    <col min="7" max="7" width="14.88671875" customWidth="1"/>
    <col min="10" max="10" width="11.33203125" customWidth="1"/>
    <col min="11" max="11" width="14.109375" customWidth="1"/>
    <col min="12" max="12" width="12.88671875" customWidth="1"/>
    <col min="13" max="13" width="10.88671875" customWidth="1"/>
    <col min="14" max="14" width="11.6640625" customWidth="1"/>
  </cols>
  <sheetData>
    <row r="1" spans="1:24" s="15" customFormat="1" ht="46.8" x14ac:dyDescent="0.3">
      <c r="A1" s="24" t="s">
        <v>62</v>
      </c>
      <c r="B1" s="44" t="s">
        <v>30</v>
      </c>
      <c r="C1" s="24" t="s">
        <v>310</v>
      </c>
      <c r="D1" s="24" t="s">
        <v>75</v>
      </c>
      <c r="E1" s="24" t="s">
        <v>81</v>
      </c>
      <c r="F1" s="24" t="s">
        <v>115</v>
      </c>
      <c r="G1" s="24" t="s">
        <v>152</v>
      </c>
      <c r="H1" s="24" t="s">
        <v>153</v>
      </c>
      <c r="I1" s="24" t="s">
        <v>245</v>
      </c>
      <c r="J1" s="24" t="s">
        <v>116</v>
      </c>
      <c r="K1" s="24" t="s">
        <v>77</v>
      </c>
      <c r="L1" s="24" t="s">
        <v>244</v>
      </c>
      <c r="M1" s="24" t="s">
        <v>246</v>
      </c>
      <c r="N1" s="24" t="s">
        <v>79</v>
      </c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24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24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4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24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24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2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2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2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2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7" spans="1:14" x14ac:dyDescent="0.3">
      <c r="B27" s="112" t="s">
        <v>247</v>
      </c>
    </row>
    <row r="28" spans="1:14" x14ac:dyDescent="0.3">
      <c r="B28" s="112" t="s">
        <v>84</v>
      </c>
    </row>
  </sheetData>
  <pageMargins left="0.70866141732283472" right="0.70866141732283472" top="0.74803149606299213" bottom="0.74803149606299213" header="0.31496062992125984" footer="0.31496062992125984"/>
  <pageSetup scale="46" fitToHeight="0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E14" sqref="E14"/>
    </sheetView>
  </sheetViews>
  <sheetFormatPr defaultRowHeight="14.4" x14ac:dyDescent="0.3"/>
  <cols>
    <col min="1" max="1" width="5.109375" customWidth="1"/>
    <col min="2" max="2" width="12.5546875" customWidth="1"/>
    <col min="3" max="3" width="27.6640625" customWidth="1"/>
    <col min="4" max="4" width="9.88671875" customWidth="1"/>
    <col min="5" max="5" width="12.44140625" customWidth="1"/>
    <col min="6" max="6" width="17.33203125" customWidth="1"/>
    <col min="7" max="7" width="14" customWidth="1"/>
    <col min="8" max="8" width="16.88671875" customWidth="1"/>
    <col min="9" max="9" width="18.5546875" customWidth="1"/>
    <col min="10" max="10" width="16.44140625" style="14" hidden="1" customWidth="1"/>
  </cols>
  <sheetData>
    <row r="1" spans="1:10" s="13" customFormat="1" ht="50.4" x14ac:dyDescent="0.3">
      <c r="A1" s="45" t="s">
        <v>62</v>
      </c>
      <c r="B1" s="46" t="s">
        <v>90</v>
      </c>
      <c r="C1" s="45" t="s">
        <v>108</v>
      </c>
      <c r="D1" s="46" t="s">
        <v>85</v>
      </c>
      <c r="E1" s="46" t="s">
        <v>88</v>
      </c>
      <c r="F1" s="46" t="s">
        <v>87</v>
      </c>
      <c r="G1" s="46" t="s">
        <v>86</v>
      </c>
      <c r="H1" s="46" t="s">
        <v>89</v>
      </c>
      <c r="I1" s="46" t="s">
        <v>105</v>
      </c>
      <c r="J1" s="14" t="s">
        <v>95</v>
      </c>
    </row>
    <row r="2" spans="1:10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4" t="s">
        <v>6</v>
      </c>
    </row>
    <row r="3" spans="1:10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4" t="s">
        <v>7</v>
      </c>
    </row>
    <row r="4" spans="1:10" ht="1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0" ht="15" customHeight="1" x14ac:dyDescent="0.3">
      <c r="A5" s="1"/>
      <c r="B5" s="1"/>
      <c r="C5" s="1"/>
      <c r="D5" s="1"/>
      <c r="E5" s="1"/>
      <c r="F5" s="1"/>
      <c r="G5" s="1"/>
      <c r="H5" s="1"/>
      <c r="I5" s="1"/>
      <c r="J5" s="14" t="s">
        <v>91</v>
      </c>
    </row>
    <row r="6" spans="1:10" ht="15" customHeight="1" x14ac:dyDescent="0.3">
      <c r="A6" s="1"/>
      <c r="B6" s="1"/>
      <c r="C6" s="1"/>
      <c r="D6" s="1"/>
      <c r="E6" s="1"/>
      <c r="F6" s="1"/>
      <c r="G6" s="1"/>
      <c r="H6" s="1"/>
      <c r="I6" s="1"/>
      <c r="J6" s="14" t="s">
        <v>92</v>
      </c>
    </row>
    <row r="7" spans="1:10" ht="15" customHeight="1" x14ac:dyDescent="0.3">
      <c r="A7" s="1"/>
      <c r="B7" s="1"/>
      <c r="C7" s="1"/>
      <c r="D7" s="1"/>
      <c r="E7" s="1"/>
      <c r="F7" s="1"/>
      <c r="G7" s="1"/>
      <c r="H7" s="1"/>
      <c r="I7" s="1"/>
      <c r="J7" s="14" t="s">
        <v>93</v>
      </c>
    </row>
    <row r="8" spans="1:10" ht="15" customHeight="1" x14ac:dyDescent="0.3">
      <c r="A8" s="1"/>
      <c r="B8" s="1"/>
      <c r="C8" s="1"/>
      <c r="D8" s="1"/>
      <c r="E8" s="1"/>
      <c r="F8" s="1"/>
      <c r="G8" s="1"/>
      <c r="H8" s="1"/>
      <c r="I8" s="1"/>
      <c r="J8" s="14" t="s">
        <v>94</v>
      </c>
    </row>
    <row r="9" spans="1:10" ht="15" customHeight="1" x14ac:dyDescent="0.3">
      <c r="A9" s="1"/>
      <c r="B9" s="1"/>
      <c r="C9" s="1"/>
      <c r="D9" s="1"/>
      <c r="E9" s="1"/>
      <c r="F9" s="1"/>
      <c r="G9" s="1"/>
      <c r="H9" s="1"/>
      <c r="I9" s="1"/>
      <c r="J9" s="14" t="s">
        <v>96</v>
      </c>
    </row>
    <row r="10" spans="1:10" ht="15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14" t="s">
        <v>98</v>
      </c>
    </row>
    <row r="11" spans="1:10" ht="15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4" t="s">
        <v>97</v>
      </c>
    </row>
    <row r="12" spans="1:10" ht="15" customHeigh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10" ht="15" customHeight="1" x14ac:dyDescent="0.3">
      <c r="A13" s="1"/>
      <c r="B13" s="1"/>
      <c r="C13" s="1"/>
      <c r="D13" s="1"/>
      <c r="E13" s="1"/>
      <c r="F13" s="1"/>
      <c r="G13" s="1"/>
      <c r="H13" s="1"/>
      <c r="I13" s="1"/>
    </row>
    <row r="14" spans="1:10" ht="15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14" t="s">
        <v>99</v>
      </c>
    </row>
    <row r="15" spans="1:10" ht="1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4" t="s">
        <v>100</v>
      </c>
    </row>
    <row r="16" spans="1:10" ht="1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4" t="s">
        <v>102</v>
      </c>
    </row>
    <row r="17" spans="1:10" ht="1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4" t="s">
        <v>101</v>
      </c>
    </row>
    <row r="18" spans="1:10" ht="1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4" t="s">
        <v>103</v>
      </c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4" t="s">
        <v>104</v>
      </c>
    </row>
    <row r="20" spans="1:10" ht="15" customHeight="1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0" ht="1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4" t="s">
        <v>106</v>
      </c>
    </row>
    <row r="22" spans="1:10" ht="1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4" t="s">
        <v>107</v>
      </c>
    </row>
    <row r="23" spans="1:10" ht="15" customHeight="1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0" ht="15" customHeigh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0" ht="15" customHeight="1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0" ht="15" customHeight="1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0" ht="15" customHeight="1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0" ht="15" customHeight="1" x14ac:dyDescent="0.3">
      <c r="A29" s="1"/>
      <c r="B29" s="1"/>
      <c r="C29" s="1"/>
      <c r="D29" s="1"/>
      <c r="E29" s="1"/>
      <c r="F29" s="1"/>
      <c r="G29" s="1"/>
      <c r="H29" s="1"/>
      <c r="I29" s="1"/>
    </row>
  </sheetData>
  <dataValidations count="4">
    <dataValidation type="list" allowBlank="1" showInputMessage="1" showErrorMessage="1" sqref="H1:H20 H22:H1048576">
      <formula1>$J$2:$J$3</formula1>
    </dataValidation>
    <dataValidation type="list" allowBlank="1" showInputMessage="1" showErrorMessage="1" sqref="F1:F20 F22:F1048576">
      <formula1>$J$5:$J$11</formula1>
    </dataValidation>
    <dataValidation type="list" allowBlank="1" showInputMessage="1" showErrorMessage="1" sqref="B1:B1048576">
      <formula1>$J$14:$J$19</formula1>
    </dataValidation>
    <dataValidation type="list" allowBlank="1" showInputMessage="1" showErrorMessage="1" sqref="G1:G1048576">
      <formula1>$J$21:$J$22</formula1>
    </dataValidation>
  </dataValidations>
  <pageMargins left="0.70866141732283472" right="0.70866141732283472" top="0.74803149606299213" bottom="0.74803149606299213" header="0.31496062992125984" footer="0.31496062992125984"/>
  <pageSetup scale="90" fitToHeight="0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5" sqref="I5"/>
    </sheetView>
  </sheetViews>
  <sheetFormatPr defaultRowHeight="14.4" x14ac:dyDescent="0.3"/>
  <cols>
    <col min="1" max="1" width="18.6640625" customWidth="1"/>
    <col min="2" max="2" width="7.6640625" style="74" customWidth="1"/>
    <col min="3" max="3" width="22.88671875" customWidth="1"/>
    <col min="7" max="7" width="27.88671875" customWidth="1"/>
    <col min="9" max="9" width="14.109375" customWidth="1"/>
  </cols>
  <sheetData>
    <row r="1" spans="1:9" ht="20.399999999999999" x14ac:dyDescent="0.3">
      <c r="A1" s="47" t="s">
        <v>170</v>
      </c>
      <c r="B1" s="68"/>
      <c r="C1" t="s">
        <v>188</v>
      </c>
      <c r="E1" t="s">
        <v>194</v>
      </c>
      <c r="G1" t="s">
        <v>2</v>
      </c>
      <c r="I1" t="s">
        <v>332</v>
      </c>
    </row>
    <row r="2" spans="1:9" ht="22.8" x14ac:dyDescent="0.3">
      <c r="A2" s="60" t="s">
        <v>112</v>
      </c>
      <c r="B2" s="69"/>
      <c r="C2" s="54" t="s">
        <v>189</v>
      </c>
      <c r="E2" s="75" t="s">
        <v>6</v>
      </c>
      <c r="G2" s="51" t="s">
        <v>22</v>
      </c>
      <c r="I2" s="177" t="s">
        <v>333</v>
      </c>
    </row>
    <row r="3" spans="1:9" ht="22.8" x14ac:dyDescent="0.3">
      <c r="A3" s="60" t="s">
        <v>113</v>
      </c>
      <c r="B3" s="70"/>
      <c r="C3" s="54" t="s">
        <v>190</v>
      </c>
      <c r="E3" s="75" t="s">
        <v>7</v>
      </c>
      <c r="G3" s="51" t="s">
        <v>255</v>
      </c>
      <c r="I3" s="177" t="s">
        <v>334</v>
      </c>
    </row>
    <row r="4" spans="1:9" ht="22.8" x14ac:dyDescent="0.3">
      <c r="A4" s="60" t="s">
        <v>114</v>
      </c>
      <c r="B4" s="71"/>
      <c r="C4" s="54" t="s">
        <v>191</v>
      </c>
      <c r="G4" s="51" t="s">
        <v>256</v>
      </c>
    </row>
    <row r="5" spans="1:9" ht="22.8" x14ac:dyDescent="0.3">
      <c r="A5" s="178" t="s">
        <v>173</v>
      </c>
      <c r="B5" s="71"/>
      <c r="C5" s="54" t="s">
        <v>192</v>
      </c>
      <c r="G5" s="51" t="s">
        <v>257</v>
      </c>
    </row>
    <row r="6" spans="1:9" x14ac:dyDescent="0.3">
      <c r="B6" s="72"/>
      <c r="C6" s="54" t="s">
        <v>193</v>
      </c>
      <c r="G6" s="51" t="s">
        <v>258</v>
      </c>
    </row>
    <row r="7" spans="1:9" x14ac:dyDescent="0.3">
      <c r="B7" s="73"/>
      <c r="G7" s="51" t="s">
        <v>27</v>
      </c>
    </row>
    <row r="8" spans="1:9" x14ac:dyDescent="0.3">
      <c r="B8" s="73"/>
      <c r="G8" s="51" t="s">
        <v>28</v>
      </c>
    </row>
    <row r="9" spans="1:9" x14ac:dyDescent="0.3">
      <c r="B9" s="73"/>
      <c r="G9" s="51" t="s">
        <v>225</v>
      </c>
    </row>
    <row r="10" spans="1:9" x14ac:dyDescent="0.3">
      <c r="B10" s="73"/>
      <c r="G10" s="51" t="s">
        <v>254</v>
      </c>
    </row>
    <row r="11" spans="1:9" x14ac:dyDescent="0.3">
      <c r="B11" s="73"/>
    </row>
    <row r="12" spans="1:9" x14ac:dyDescent="0.3">
      <c r="B12" s="73"/>
    </row>
    <row r="13" spans="1:9" x14ac:dyDescent="0.3">
      <c r="B13" s="73"/>
    </row>
    <row r="14" spans="1:9" x14ac:dyDescent="0.3">
      <c r="B14" s="73"/>
    </row>
    <row r="15" spans="1:9" x14ac:dyDescent="0.3">
      <c r="B15" s="73"/>
    </row>
    <row r="16" spans="1:9" x14ac:dyDescent="0.3">
      <c r="B16" s="73"/>
    </row>
    <row r="17" spans="2:2" x14ac:dyDescent="0.3">
      <c r="B17" s="73"/>
    </row>
    <row r="18" spans="2:2" x14ac:dyDescent="0.3">
      <c r="B18" s="73"/>
    </row>
    <row r="19" spans="2:2" x14ac:dyDescent="0.3">
      <c r="B19" s="73"/>
    </row>
    <row r="20" spans="2:2" x14ac:dyDescent="0.3">
      <c r="B20" s="73"/>
    </row>
    <row r="21" spans="2:2" x14ac:dyDescent="0.3">
      <c r="B21" s="73"/>
    </row>
    <row r="22" spans="2:2" x14ac:dyDescent="0.3">
      <c r="B22" s="73"/>
    </row>
    <row r="23" spans="2:2" x14ac:dyDescent="0.3">
      <c r="B23" s="73"/>
    </row>
    <row r="24" spans="2:2" x14ac:dyDescent="0.3">
      <c r="B24" s="73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1</vt:i4>
      </vt:variant>
    </vt:vector>
  </HeadingPairs>
  <TitlesOfParts>
    <vt:vector size="9" baseType="lpstr">
      <vt:lpstr>Π.Ε.-ΕΠΙΛΕΞ.ΔΑΠ.</vt:lpstr>
      <vt:lpstr>ΑΝΑΛΥΣΗ ΚΟΣΤΟΥΣ</vt:lpstr>
      <vt:lpstr>ΧΡΟΝΟΧΡΕΩΣΗ</vt:lpstr>
      <vt:lpstr>ΣΥΝΟΛΙΚΟ</vt:lpstr>
      <vt:lpstr>ΠΡΟΜΗΘΕΙΕΣ</vt:lpstr>
      <vt:lpstr>ΥΠΗΡΕΣΙΕΣ</vt:lpstr>
      <vt:lpstr>ΥΦΙΣΤΑΜΕΝΟΣ ΕΞΟΠΛΙΣΜΟΣ</vt:lpstr>
      <vt:lpstr>Φύλλο1</vt:lpstr>
      <vt:lpstr>ΣΥΝΟΛΙΚΟ!Print_Area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ΑΝΔΡΟΝΙΚΙΔΗ ΔΕΣΠΟΙΝΑ</dc:creator>
  <cp:lastModifiedBy>ymeperaa-8</cp:lastModifiedBy>
  <cp:lastPrinted>2018-07-20T12:15:33Z</cp:lastPrinted>
  <dcterms:created xsi:type="dcterms:W3CDTF">2018-04-20T07:38:59Z</dcterms:created>
  <dcterms:modified xsi:type="dcterms:W3CDTF">2021-06-24T08:02:57Z</dcterms:modified>
</cp:coreProperties>
</file>