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\\Thrileonsrv01\π.π 14-20\Ε2 ΕΠ-ΥΜΕΠΕΡΑΑ\Ε2.01 ΠΡΟΓΡΑΜΜΑ\Ε2.01.12 6Η ΑΝΑΘ 2023\ΝΕΑ ΥΠΟΒΟΛΗ ΝΟΕΜΒΡΙΟΥ_13-11-23\Other M-S Doc_FINAL\ΑΙΤΙΟΛΟΓΗΣΗ\"/>
    </mc:Choice>
  </mc:AlternateContent>
  <xr:revisionPtr revIDLastSave="0" documentId="13_ncr:1_{8A1B70ED-98D2-4CFA-8395-D40A8FCF0263}" xr6:coauthVersionLast="47" xr6:coauthVersionMax="47" xr10:uidLastSave="{00000000-0000-0000-0000-000000000000}"/>
  <bookViews>
    <workbookView xWindow="-120" yWindow="-120" windowWidth="29040" windowHeight="15720" tabRatio="874" activeTab="1" xr2:uid="{00000000-000D-0000-FFFF-FFFF00000000}"/>
  </bookViews>
  <sheets>
    <sheet name="Πρόταση ανα ΑΠ" sheetId="36" r:id="rId1"/>
    <sheet name="Συνολική εικόνα" sheetId="3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37" l="1"/>
  <c r="K3" i="37"/>
  <c r="N40" i="36"/>
  <c r="M40" i="36" s="1"/>
  <c r="N24" i="36"/>
  <c r="N42" i="36"/>
  <c r="M42" i="36" s="1"/>
  <c r="N25" i="36"/>
  <c r="N12" i="36"/>
  <c r="M12" i="36" s="1"/>
  <c r="N37" i="36"/>
  <c r="M18" i="36"/>
  <c r="M6" i="36"/>
  <c r="M28" i="36" l="1"/>
  <c r="N36" i="36" l="1"/>
  <c r="I20" i="37"/>
  <c r="I14" i="37"/>
  <c r="I13" i="37"/>
  <c r="I10" i="37"/>
  <c r="I9" i="37"/>
  <c r="I6" i="37"/>
  <c r="I5" i="37"/>
  <c r="I3" i="37"/>
  <c r="H3" i="37"/>
  <c r="L56" i="36"/>
  <c r="K56" i="36"/>
  <c r="J56" i="36"/>
  <c r="K54" i="36"/>
  <c r="K52" i="36"/>
  <c r="K51" i="36"/>
  <c r="K49" i="36"/>
  <c r="L49" i="36" s="1"/>
  <c r="K48" i="36"/>
  <c r="L48" i="36" s="1"/>
  <c r="K47" i="36"/>
  <c r="L47" i="36" s="1"/>
  <c r="K46" i="36"/>
  <c r="L46" i="36" s="1"/>
  <c r="L44" i="36"/>
  <c r="L43" i="36"/>
  <c r="K42" i="36"/>
  <c r="L42" i="36" s="1"/>
  <c r="L41" i="36"/>
  <c r="L40" i="36"/>
  <c r="L39" i="36"/>
  <c r="J39" i="36"/>
  <c r="H14" i="37" s="1"/>
  <c r="L38" i="36"/>
  <c r="J38" i="36"/>
  <c r="L37" i="36"/>
  <c r="J37" i="36"/>
  <c r="H13" i="37" s="1"/>
  <c r="K36" i="36"/>
  <c r="L36" i="36" s="1"/>
  <c r="K35" i="36"/>
  <c r="L35" i="36" s="1"/>
  <c r="L34" i="36"/>
  <c r="J34" i="36"/>
  <c r="L33" i="36"/>
  <c r="J33" i="36"/>
  <c r="L31" i="36"/>
  <c r="J31" i="36"/>
  <c r="L30" i="36"/>
  <c r="J30" i="36"/>
  <c r="L29" i="36"/>
  <c r="J29" i="36"/>
  <c r="L28" i="36"/>
  <c r="J28" i="36"/>
  <c r="L27" i="36"/>
  <c r="K26" i="36"/>
  <c r="J26" i="36" s="1"/>
  <c r="K25" i="36"/>
  <c r="I8" i="37" s="1"/>
  <c r="L24" i="36"/>
  <c r="J24" i="36"/>
  <c r="L22" i="36"/>
  <c r="J22" i="36"/>
  <c r="K19" i="36"/>
  <c r="L19" i="36" s="1"/>
  <c r="L18" i="36"/>
  <c r="J18" i="36"/>
  <c r="H6" i="37" s="1"/>
  <c r="L17" i="36"/>
  <c r="J17" i="36"/>
  <c r="H5" i="37" s="1"/>
  <c r="K15" i="36"/>
  <c r="L15" i="36" s="1"/>
  <c r="J15" i="36"/>
  <c r="L12" i="36"/>
  <c r="L10" i="36"/>
  <c r="J10" i="36"/>
  <c r="H20" i="37" s="1"/>
  <c r="L6" i="36"/>
  <c r="J36" i="36" l="1"/>
  <c r="H9" i="37"/>
  <c r="J47" i="36"/>
  <c r="J25" i="36"/>
  <c r="H23" i="37" s="1"/>
  <c r="J35" i="36"/>
  <c r="H11" i="37" s="1"/>
  <c r="J42" i="36"/>
  <c r="I24" i="37"/>
  <c r="L26" i="36"/>
  <c r="J51" i="36"/>
  <c r="K45" i="36"/>
  <c r="I15" i="37"/>
  <c r="I25" i="37"/>
  <c r="J48" i="36"/>
  <c r="H4" i="37"/>
  <c r="H10" i="37"/>
  <c r="I4" i="37"/>
  <c r="J52" i="36"/>
  <c r="K50" i="36"/>
  <c r="K53" i="36" s="1"/>
  <c r="K55" i="36" s="1"/>
  <c r="I11" i="37"/>
  <c r="I21" i="37"/>
  <c r="I12" i="37"/>
  <c r="I22" i="37"/>
  <c r="L54" i="36"/>
  <c r="I7" i="37"/>
  <c r="I23" i="37"/>
  <c r="L50" i="36"/>
  <c r="J46" i="36"/>
  <c r="H8" i="37"/>
  <c r="J54" i="36"/>
  <c r="J19" i="36"/>
  <c r="H21" i="37" s="1"/>
  <c r="L25" i="36"/>
  <c r="J49" i="36"/>
  <c r="H24" i="37" s="1"/>
  <c r="K23" i="36"/>
  <c r="L45" i="36" l="1"/>
  <c r="H12" i="37"/>
  <c r="J45" i="36"/>
  <c r="H22" i="37"/>
  <c r="I26" i="37"/>
  <c r="J50" i="36"/>
  <c r="J53" i="36" s="1"/>
  <c r="J55" i="36" s="1"/>
  <c r="H7" i="37"/>
  <c r="H25" i="37"/>
  <c r="H15" i="37"/>
  <c r="L51" i="36"/>
  <c r="I16" i="37"/>
  <c r="J23" i="36"/>
  <c r="H26" i="37" l="1"/>
  <c r="H16" i="37"/>
  <c r="E18" i="37"/>
  <c r="K18" i="37" l="1"/>
  <c r="L10" i="37"/>
  <c r="L14" i="37"/>
  <c r="L13" i="37"/>
  <c r="L11" i="37"/>
  <c r="L9" i="37"/>
  <c r="L6" i="37"/>
  <c r="L5" i="37"/>
  <c r="L3" i="37"/>
  <c r="D15" i="37"/>
  <c r="J15" i="37" s="1"/>
  <c r="D14" i="37"/>
  <c r="J14" i="37" s="1"/>
  <c r="D13" i="37"/>
  <c r="J13" i="37" s="1"/>
  <c r="D12" i="37"/>
  <c r="J12" i="37" s="1"/>
  <c r="D11" i="37"/>
  <c r="J11" i="37" s="1"/>
  <c r="D10" i="37"/>
  <c r="J10" i="37" s="1"/>
  <c r="F9" i="37"/>
  <c r="D9" i="37"/>
  <c r="J9" i="37" s="1"/>
  <c r="D8" i="37"/>
  <c r="J8" i="37" s="1"/>
  <c r="D7" i="37"/>
  <c r="J7" i="37" s="1"/>
  <c r="D6" i="37"/>
  <c r="J6" i="37" s="1"/>
  <c r="F5" i="37"/>
  <c r="D5" i="37"/>
  <c r="J5" i="37" s="1"/>
  <c r="F4" i="37"/>
  <c r="D4" i="37"/>
  <c r="J4" i="37" s="1"/>
  <c r="D3" i="37"/>
  <c r="J3" i="37" s="1"/>
  <c r="L20" i="37"/>
  <c r="D20" i="37"/>
  <c r="D21" i="37"/>
  <c r="J21" i="37" s="1"/>
  <c r="D22" i="37"/>
  <c r="D23" i="37"/>
  <c r="J23" i="37" s="1"/>
  <c r="D24" i="37"/>
  <c r="D25" i="37"/>
  <c r="J25" i="37" s="1"/>
  <c r="C25" i="37"/>
  <c r="C24" i="37"/>
  <c r="C31" i="37" s="1"/>
  <c r="C23" i="37"/>
  <c r="C22" i="37"/>
  <c r="C30" i="37" s="1"/>
  <c r="C21" i="37"/>
  <c r="C20" i="37"/>
  <c r="C29" i="37" s="1"/>
  <c r="C15" i="37"/>
  <c r="C14" i="37"/>
  <c r="C13" i="37"/>
  <c r="C12" i="37"/>
  <c r="C11" i="37"/>
  <c r="C10" i="37"/>
  <c r="C9" i="37"/>
  <c r="C8" i="37"/>
  <c r="C7" i="37"/>
  <c r="C6" i="37"/>
  <c r="C5" i="37"/>
  <c r="C4" i="37"/>
  <c r="C3" i="37"/>
  <c r="M3" i="37" s="1"/>
  <c r="J24" i="37" l="1"/>
  <c r="D31" i="37"/>
  <c r="J22" i="37"/>
  <c r="D30" i="37"/>
  <c r="J20" i="37"/>
  <c r="D29" i="37"/>
  <c r="N5" i="37"/>
  <c r="G5" i="37"/>
  <c r="G9" i="37"/>
  <c r="G4" i="37"/>
  <c r="L22" i="37"/>
  <c r="N20" i="37"/>
  <c r="C26" i="37"/>
  <c r="O14" i="37"/>
  <c r="N14" i="37"/>
  <c r="N13" i="37"/>
  <c r="N11" i="37"/>
  <c r="O11" i="37"/>
  <c r="O10" i="37"/>
  <c r="O9" i="37"/>
  <c r="O5" i="37"/>
  <c r="K10" i="37" l="1"/>
  <c r="M10" i="37" s="1"/>
  <c r="N22" i="37"/>
  <c r="C16" i="37"/>
  <c r="O13" i="37"/>
  <c r="D16" i="37"/>
  <c r="O6" i="37"/>
  <c r="N6" i="37"/>
  <c r="N10" i="37"/>
  <c r="N3" i="37"/>
  <c r="N9" i="37"/>
  <c r="D26" i="37"/>
  <c r="N19" i="36" l="1"/>
  <c r="L7" i="37" s="1"/>
  <c r="M10" i="36"/>
  <c r="M24" i="36"/>
  <c r="O7" i="37" l="1"/>
  <c r="N7" i="37"/>
  <c r="N26" i="36"/>
  <c r="M26" i="36" s="1"/>
  <c r="M29" i="36"/>
  <c r="M30" i="36"/>
  <c r="M31" i="36"/>
  <c r="M34" i="36"/>
  <c r="M33" i="36"/>
  <c r="M25" i="36" l="1"/>
  <c r="L8" i="37"/>
  <c r="N49" i="36"/>
  <c r="M49" i="36" l="1"/>
  <c r="K24" i="37" s="1"/>
  <c r="L24" i="37"/>
  <c r="O8" i="37"/>
  <c r="N8" i="37"/>
  <c r="K8" i="37"/>
  <c r="M8" i="37" s="1"/>
  <c r="N15" i="36"/>
  <c r="M15" i="36" s="1"/>
  <c r="N48" i="36"/>
  <c r="N46" i="36"/>
  <c r="N47" i="36"/>
  <c r="G14" i="36"/>
  <c r="I14" i="36"/>
  <c r="M22" i="36"/>
  <c r="M17" i="36"/>
  <c r="M39" i="36"/>
  <c r="K14" i="37" s="1"/>
  <c r="M14" i="37" s="1"/>
  <c r="M38" i="36"/>
  <c r="K9" i="37" s="1"/>
  <c r="M9" i="37" s="1"/>
  <c r="M37" i="36"/>
  <c r="K13" i="37" s="1"/>
  <c r="M13" i="37" s="1"/>
  <c r="M35" i="36"/>
  <c r="K11" i="37" s="1"/>
  <c r="M11" i="37" s="1"/>
  <c r="M24" i="37" l="1"/>
  <c r="K23" i="37"/>
  <c r="M23" i="37" s="1"/>
  <c r="L12" i="37"/>
  <c r="L23" i="37"/>
  <c r="L30" i="37" s="1"/>
  <c r="N30" i="37" s="1"/>
  <c r="K4" i="37"/>
  <c r="M4" i="37" s="1"/>
  <c r="L15" i="37"/>
  <c r="L25" i="37"/>
  <c r="N25" i="37" s="1"/>
  <c r="L21" i="37"/>
  <c r="L29" i="37" s="1"/>
  <c r="N29" i="37" s="1"/>
  <c r="L4" i="37"/>
  <c r="N24" i="37"/>
  <c r="K6" i="37"/>
  <c r="M6" i="37" s="1"/>
  <c r="K5" i="37"/>
  <c r="K20" i="37"/>
  <c r="M48" i="36"/>
  <c r="M47" i="36"/>
  <c r="M51" i="36" s="1"/>
  <c r="M36" i="36"/>
  <c r="M46" i="36"/>
  <c r="M19" i="36"/>
  <c r="K7" i="37" s="1"/>
  <c r="M7" i="37" s="1"/>
  <c r="O40" i="36"/>
  <c r="O41" i="36"/>
  <c r="O42" i="36"/>
  <c r="O43" i="36"/>
  <c r="O44" i="36"/>
  <c r="O33" i="36"/>
  <c r="O34" i="36"/>
  <c r="O35" i="36"/>
  <c r="O36" i="36"/>
  <c r="O37" i="36"/>
  <c r="O38" i="36"/>
  <c r="O39" i="36"/>
  <c r="O29" i="36"/>
  <c r="O30" i="36"/>
  <c r="O31" i="36"/>
  <c r="O27" i="36"/>
  <c r="O28" i="36"/>
  <c r="O25" i="36"/>
  <c r="O26" i="36"/>
  <c r="O24" i="36"/>
  <c r="O6" i="36"/>
  <c r="L31" i="37" l="1"/>
  <c r="N31" i="37" s="1"/>
  <c r="O24" i="37"/>
  <c r="R24" i="37" s="1"/>
  <c r="N21" i="37"/>
  <c r="O20" i="37" s="1"/>
  <c r="R20" i="37" s="1"/>
  <c r="L26" i="37"/>
  <c r="P24" i="37" s="1"/>
  <c r="K25" i="37"/>
  <c r="K15" i="37"/>
  <c r="M15" i="37" s="1"/>
  <c r="O15" i="37"/>
  <c r="N15" i="37"/>
  <c r="K21" i="37"/>
  <c r="M21" i="37" s="1"/>
  <c r="N23" i="37"/>
  <c r="O22" i="37" s="1"/>
  <c r="R22" i="37" s="1"/>
  <c r="L16" i="37"/>
  <c r="N4" i="37"/>
  <c r="O4" i="37"/>
  <c r="O12" i="37"/>
  <c r="N12" i="37"/>
  <c r="K12" i="37"/>
  <c r="M12" i="37" s="1"/>
  <c r="K22" i="37"/>
  <c r="M5" i="37"/>
  <c r="M20" i="37"/>
  <c r="Q44" i="36"/>
  <c r="Q42" i="36"/>
  <c r="Q43" i="36"/>
  <c r="Q36" i="36"/>
  <c r="Q37" i="36"/>
  <c r="Q38" i="36"/>
  <c r="Q40" i="36"/>
  <c r="Q41" i="36"/>
  <c r="Q34" i="36"/>
  <c r="Q33" i="36"/>
  <c r="Q31" i="36"/>
  <c r="Q30" i="36"/>
  <c r="Q29" i="36"/>
  <c r="Q28" i="36"/>
  <c r="Q12" i="36"/>
  <c r="Q26" i="36"/>
  <c r="Q25" i="36"/>
  <c r="Q24" i="36"/>
  <c r="Q22" i="36"/>
  <c r="Q19" i="36"/>
  <c r="Q17" i="36"/>
  <c r="Q15" i="36"/>
  <c r="Q10" i="36"/>
  <c r="Q9" i="36"/>
  <c r="Q6" i="36"/>
  <c r="M22" i="37" l="1"/>
  <c r="K30" i="37"/>
  <c r="M30" i="37" s="1"/>
  <c r="M25" i="37"/>
  <c r="K31" i="37"/>
  <c r="M31" i="37" s="1"/>
  <c r="K29" i="37"/>
  <c r="M29" i="37" s="1"/>
  <c r="P22" i="37"/>
  <c r="N16" i="37"/>
  <c r="K16" i="37"/>
  <c r="O26" i="37"/>
  <c r="N26" i="37"/>
  <c r="M16" i="37"/>
  <c r="P20" i="37"/>
  <c r="K26" i="37"/>
  <c r="P15" i="36"/>
  <c r="P10" i="36"/>
  <c r="H6" i="36"/>
  <c r="G9" i="36"/>
  <c r="I9" i="36"/>
  <c r="L9" i="36" s="1"/>
  <c r="G10" i="36"/>
  <c r="I10" i="36"/>
  <c r="G12" i="36"/>
  <c r="I12" i="36"/>
  <c r="G15" i="36"/>
  <c r="I15" i="36"/>
  <c r="G17" i="36"/>
  <c r="E5" i="37" s="1"/>
  <c r="I17" i="36"/>
  <c r="H18" i="36"/>
  <c r="F6" i="37" s="1"/>
  <c r="G6" i="37" s="1"/>
  <c r="H19" i="36"/>
  <c r="H50" i="36" s="1"/>
  <c r="G22" i="36"/>
  <c r="I22" i="36"/>
  <c r="H24" i="36"/>
  <c r="H25" i="36"/>
  <c r="G25" i="36" s="1"/>
  <c r="G26" i="36"/>
  <c r="I26" i="36"/>
  <c r="H27" i="36"/>
  <c r="H28" i="36"/>
  <c r="G29" i="36"/>
  <c r="I29" i="36"/>
  <c r="G30" i="36"/>
  <c r="I30" i="36"/>
  <c r="G31" i="36"/>
  <c r="I31" i="36"/>
  <c r="G33" i="36"/>
  <c r="I33" i="36"/>
  <c r="G34" i="36"/>
  <c r="I34" i="36"/>
  <c r="H35" i="36"/>
  <c r="H36" i="36"/>
  <c r="H37" i="36"/>
  <c r="G38" i="36"/>
  <c r="I38" i="36"/>
  <c r="H39" i="36"/>
  <c r="H40" i="36"/>
  <c r="G40" i="36" s="1"/>
  <c r="G41" i="36"/>
  <c r="I41" i="36"/>
  <c r="H42" i="36"/>
  <c r="G43" i="36"/>
  <c r="I43" i="36"/>
  <c r="G44" i="36"/>
  <c r="I44" i="36"/>
  <c r="G46" i="36"/>
  <c r="I46" i="36"/>
  <c r="H47" i="36"/>
  <c r="G48" i="36"/>
  <c r="I48" i="36"/>
  <c r="H49" i="36"/>
  <c r="H51" i="36"/>
  <c r="H52" i="36"/>
  <c r="I52" i="36"/>
  <c r="G56" i="36"/>
  <c r="H56" i="36"/>
  <c r="I56" i="36"/>
  <c r="M26" i="37" l="1"/>
  <c r="T16" i="37"/>
  <c r="S16" i="37"/>
  <c r="R16" i="37"/>
  <c r="L23" i="36"/>
  <c r="L52" i="36"/>
  <c r="L53" i="36" s="1"/>
  <c r="L55" i="36" s="1"/>
  <c r="G39" i="36"/>
  <c r="E14" i="37" s="1"/>
  <c r="F14" i="37"/>
  <c r="G14" i="37" s="1"/>
  <c r="I19" i="36"/>
  <c r="F21" i="37"/>
  <c r="G21" i="37" s="1"/>
  <c r="F7" i="37"/>
  <c r="G7" i="37" s="1"/>
  <c r="G6" i="36"/>
  <c r="F3" i="37"/>
  <c r="F20" i="37"/>
  <c r="G47" i="36"/>
  <c r="E25" i="37" s="1"/>
  <c r="F25" i="37"/>
  <c r="G25" i="37" s="1"/>
  <c r="F15" i="37"/>
  <c r="G15" i="37" s="1"/>
  <c r="G37" i="36"/>
  <c r="E13" i="37" s="1"/>
  <c r="F13" i="37"/>
  <c r="G13" i="37" s="1"/>
  <c r="E9" i="37"/>
  <c r="G49" i="36"/>
  <c r="E24" i="37" s="1"/>
  <c r="F24" i="37"/>
  <c r="G24" i="37" s="1"/>
  <c r="F12" i="37"/>
  <c r="G12" i="37" s="1"/>
  <c r="G28" i="36"/>
  <c r="E10" i="37" s="1"/>
  <c r="F10" i="37"/>
  <c r="G10" i="37" s="1"/>
  <c r="G35" i="36"/>
  <c r="E11" i="37" s="1"/>
  <c r="F11" i="37"/>
  <c r="G11" i="37" s="1"/>
  <c r="F22" i="37"/>
  <c r="G22" i="37" s="1"/>
  <c r="G24" i="36"/>
  <c r="F23" i="37"/>
  <c r="G23" i="37" s="1"/>
  <c r="F8" i="37"/>
  <c r="G8" i="37" s="1"/>
  <c r="E4" i="37"/>
  <c r="G18" i="36"/>
  <c r="E6" i="37" s="1"/>
  <c r="G42" i="36"/>
  <c r="G51" i="36" s="1"/>
  <c r="I27" i="36"/>
  <c r="G36" i="36"/>
  <c r="E12" i="37" s="1"/>
  <c r="I37" i="36"/>
  <c r="H23" i="36"/>
  <c r="I47" i="36"/>
  <c r="I40" i="36"/>
  <c r="G52" i="36"/>
  <c r="H54" i="36"/>
  <c r="I6" i="36"/>
  <c r="H53" i="36"/>
  <c r="I42" i="36"/>
  <c r="I28" i="36"/>
  <c r="G19" i="36"/>
  <c r="I18" i="36"/>
  <c r="I39" i="36"/>
  <c r="G27" i="36"/>
  <c r="I36" i="36"/>
  <c r="I25" i="36"/>
  <c r="H45" i="36"/>
  <c r="I49" i="36"/>
  <c r="I35" i="36"/>
  <c r="I24" i="36"/>
  <c r="I50" i="36" l="1"/>
  <c r="E22" i="37"/>
  <c r="G20" i="37"/>
  <c r="G26" i="37" s="1"/>
  <c r="F26" i="37"/>
  <c r="E3" i="37"/>
  <c r="E20" i="37"/>
  <c r="G23" i="36"/>
  <c r="E7" i="37"/>
  <c r="G3" i="37"/>
  <c r="F16" i="37"/>
  <c r="E8" i="37"/>
  <c r="E23" i="37"/>
  <c r="E15" i="37"/>
  <c r="I51" i="36"/>
  <c r="I53" i="36" s="1"/>
  <c r="E21" i="37"/>
  <c r="G54" i="36"/>
  <c r="I23" i="36"/>
  <c r="G50" i="36"/>
  <c r="G53" i="36" s="1"/>
  <c r="I54" i="36"/>
  <c r="H55" i="36"/>
  <c r="G45" i="36"/>
  <c r="I45" i="36"/>
  <c r="E26" i="37" l="1"/>
  <c r="E16" i="37"/>
  <c r="I55" i="36"/>
  <c r="G55" i="36"/>
  <c r="Q56" i="36"/>
  <c r="P56" i="36"/>
  <c r="O56" i="36"/>
  <c r="N56" i="36"/>
  <c r="M56" i="36"/>
  <c r="Q18" i="36" l="1"/>
  <c r="P6" i="36" l="1"/>
  <c r="O15" i="36" l="1"/>
  <c r="O12" i="36"/>
  <c r="O22" i="36"/>
  <c r="P38" i="36" l="1"/>
  <c r="P12" i="36"/>
  <c r="F54" i="36"/>
  <c r="E54" i="36"/>
  <c r="F52" i="36"/>
  <c r="E52" i="36"/>
  <c r="F51" i="36"/>
  <c r="E51" i="36"/>
  <c r="F50" i="36"/>
  <c r="E50" i="36"/>
  <c r="Q48" i="36"/>
  <c r="F45" i="36"/>
  <c r="E45" i="36"/>
  <c r="F23" i="36"/>
  <c r="E23" i="36"/>
  <c r="Q46" i="36" l="1"/>
  <c r="P46" i="36"/>
  <c r="O46" i="36"/>
  <c r="P17" i="36"/>
  <c r="O17" i="36"/>
  <c r="P48" i="36"/>
  <c r="O48" i="36"/>
  <c r="P26" i="36"/>
  <c r="P44" i="36"/>
  <c r="P29" i="36"/>
  <c r="P30" i="36"/>
  <c r="P31" i="36"/>
  <c r="P33" i="36"/>
  <c r="P34" i="36"/>
  <c r="P41" i="36"/>
  <c r="P43" i="36"/>
  <c r="P9" i="36"/>
  <c r="Q47" i="36"/>
  <c r="N52" i="36"/>
  <c r="P52" i="36" s="1"/>
  <c r="O9" i="36"/>
  <c r="E53" i="36"/>
  <c r="E55" i="36" s="1"/>
  <c r="O10" i="36"/>
  <c r="F53" i="36"/>
  <c r="F55" i="36" s="1"/>
  <c r="P22" i="36"/>
  <c r="O52" i="36" l="1"/>
  <c r="Q51" i="36"/>
  <c r="O47" i="36"/>
  <c r="M52" i="36"/>
  <c r="Q52" i="36" s="1"/>
  <c r="O49" i="36"/>
  <c r="O51" i="36"/>
  <c r="O18" i="36"/>
  <c r="O19" i="36"/>
  <c r="N23" i="36"/>
  <c r="P49" i="36"/>
  <c r="P40" i="36"/>
  <c r="P25" i="36"/>
  <c r="P36" i="36"/>
  <c r="P39" i="36"/>
  <c r="P37" i="36"/>
  <c r="P28" i="36"/>
  <c r="P18" i="36"/>
  <c r="P42" i="36"/>
  <c r="N50" i="36"/>
  <c r="P19" i="36"/>
  <c r="Q49" i="36"/>
  <c r="P24" i="36"/>
  <c r="N51" i="36"/>
  <c r="P47" i="36"/>
  <c r="P50" i="36" l="1"/>
  <c r="P51" i="36"/>
  <c r="O23" i="36"/>
  <c r="Q39" i="36"/>
  <c r="O50" i="36"/>
  <c r="O53" i="36" s="1"/>
  <c r="M50" i="36"/>
  <c r="Q50" i="36" s="1"/>
  <c r="M23" i="36"/>
  <c r="N53" i="36"/>
  <c r="P53" i="36" s="1"/>
  <c r="M53" i="36" l="1"/>
  <c r="Q53" i="36" s="1"/>
  <c r="N54" i="36" l="1"/>
  <c r="N55" i="36" s="1"/>
  <c r="P55" i="36" s="1"/>
  <c r="O54" i="36"/>
  <c r="O45" i="36"/>
  <c r="N45" i="36"/>
  <c r="P45" i="36" s="1"/>
  <c r="P35" i="36"/>
  <c r="O55" i="36" l="1"/>
  <c r="M54" i="36"/>
  <c r="M45" i="36"/>
  <c r="Q45" i="36" s="1"/>
  <c r="P54" i="36"/>
  <c r="Q35" i="36"/>
  <c r="M55" i="36" l="1"/>
  <c r="Q55" i="36" s="1"/>
  <c r="Q54" i="36"/>
</calcChain>
</file>

<file path=xl/sharedStrings.xml><?xml version="1.0" encoding="utf-8"?>
<sst xmlns="http://schemas.openxmlformats.org/spreadsheetml/2006/main" count="245" uniqueCount="87">
  <si>
    <t>Ισχύουσα 5η Αναθεώρηση</t>
  </si>
  <si>
    <t>Άξονας προτεραιότητας</t>
  </si>
  <si>
    <t>Ταμείο</t>
  </si>
  <si>
    <t>Κατηγορία περιφέρειας</t>
  </si>
  <si>
    <t>ΣΔΔ</t>
  </si>
  <si>
    <t>Κοινοτική Συνδρομή
(ΚΣ)</t>
  </si>
  <si>
    <t>ΚΣ</t>
  </si>
  <si>
    <t>ΔΙΑΦΟΡΑ ΚΣ 
από 5η Αναθεώρηση
(Πόροι προς αποδέσμευση)</t>
  </si>
  <si>
    <t>(1)</t>
  </si>
  <si>
    <t>(2)</t>
  </si>
  <si>
    <t>(3)</t>
  </si>
  <si>
    <t>(4)</t>
  </si>
  <si>
    <t>(5)</t>
  </si>
  <si>
    <t>(6)</t>
  </si>
  <si>
    <t>(7)</t>
  </si>
  <si>
    <t>(8)= (7)-(5)</t>
  </si>
  <si>
    <t>(9)</t>
  </si>
  <si>
    <t>ΑΠ 1 -  ΔΙΕΥΡΩΠΑΪΚΟ ΣΙΔΗΡΟΔΡΟΜΙΚΟ ΔΙΚΤΥΟ &amp; ΣΥΝΔΕΣΕΙΣ (ΤΣ)</t>
  </si>
  <si>
    <t>Ταμείο Συνοχής</t>
  </si>
  <si>
    <t>ΑΑ</t>
  </si>
  <si>
    <t>ΑΠ 2 -  ΔΙΕΥΡΩΠΑΪΚΟ ΣΙΔΗΡΟΔΡΟΜΙΚΟ ΔΙΚΤΥΟ  (ΕΤΠΑ)</t>
  </si>
  <si>
    <t>ΕΤΠΑ</t>
  </si>
  <si>
    <t>Λιγότερο αναπτυγμένες περιφέρειες</t>
  </si>
  <si>
    <t>Περιφέρειες σε μετάβαση</t>
  </si>
  <si>
    <t>Περισσότερο αναπτυγμένες περιφέρειες</t>
  </si>
  <si>
    <t>ΑΠ 3- ΔΙΕΥΡΩΠΑΙΚΟ ΟΔΙΚΟ ΔΙΚΤΥΟ ΚΑΙ ΟΔΙΚΗ ΑΣΦΑΛΕΙΑ (ΤΣ)</t>
  </si>
  <si>
    <t>ΑΠ 4 - ΔΙΕΥΡΩΠΑΙΚΟ ΟΔΙΚΟ ΔΙΚΤΥΟ  (ΕΤΠΑ)</t>
  </si>
  <si>
    <t>ΑΠ 5 - ΕΝΙΣΧΥΣΗ ΠΕΡΙΦΕΡΕΙΑΚΗΣ ΚΙΝΗΤΙΚΟΤΗΤΑΣ ΚΑΙ ΒΕΛΤΙΩΣΗ ΣΥΝΔΕΣΙΜΟΤΗΤΑΣ ΝΗΣΙΩΤΙΚΩΝ ΚΑΙ ΑΠΟΜΑΚΡΥΣΜΕΝΩΝ ΠΕΡΙΟΧΩΝ (ΕΤΠΑ)</t>
  </si>
  <si>
    <t>ΑΠ 6 - ΘΑΛΑΣΣΙΕΣ ΜΕΤΑΦΟΡΙΚΕΣ ΥΠΟΔΟΜΕΣ ΚΑΙ ΑΣΦΑΛΕΙΑ ΝΑΥΣΙΠΛΟΪΑΣ (ΤΣ)</t>
  </si>
  <si>
    <t>ΑΠ 7 - ΑΕΡΟΠΟΡΙΚΕΣ ΜΕΤΑΦΟΡΙΚΕΣ ΥΠΟΔΟΜΕΣ ΚΑΙ ΑΣΦΑΛΕΙΑ ΑΕΡΟΝΑΥΤΙΛΙΑΣ (ΤΣ)</t>
  </si>
  <si>
    <t>ΑΠ 8 - ΚΑΘΑΡΕΣ ΑΣΤΙΚΕΣ ΜΕΤΑΦΟΡΕΣ (ΕΤΠΑ)</t>
  </si>
  <si>
    <t>ΑΠ 9 - ΚΑΘΑΡΕΣ ΑΣΤΙΚΕΣ ΜΕΤΑΦΟΡΕΣ &amp; ΒΕΛΤΙΩΣΗ ΑΣΤΙΚΟΥ ΠΕΡΙΒΑΛΛΟΝΤΟΣ (ΤΣ)</t>
  </si>
  <si>
    <t>ΣΥΝΟΛΟ ΤΟΜΕΑ ΜΕΤΑΦΟΡΩΝ</t>
  </si>
  <si>
    <t>ΑΠ 10 - ΕΦΑΡΜΟΓΗ ΣΤΡΑΤΗΓΙΚΩΝ ΕΠΙΤΕΥΞΗΣ ΧΑΜΗΛΩΝ ΕΚΠΟΜΠΩΝ ΔΙΟΞΕΙΔΙΟΥ ΤΟΥ ΑΝΘΡΑΚΑ ΜΕ ΕΜΦΑΣΗ ΣΤΙΣ ΑΣΤΙΚΕΣ ΠΕΡΙΟΧΕΣ</t>
  </si>
  <si>
    <t xml:space="preserve">ΑΠ 11 - ΕΦΑΡΜΟΓΗ ΣΤΡΑΤΗΓΙΚΩΝ ΠΡΟΣΑΡΜΟΓΗΣ ΣΤΗΝ ΚΛΙΜΑΤΙΚΗ ΑΛΛΑΓΗ, ΤΗΣ  ΠΡΟΛΗΨΗΣ ΚΑΙ ΔΙΑΧΕΙΡΙΣΗΣ ΚΙΝΔΥΝΩΝ </t>
  </si>
  <si>
    <t xml:space="preserve">ΑΠ 12 -ΔΙΑΤΗΡΗΣΗ ΚΑΙ ΠΡΟΣΤΑΣΙΑ ΤΟΥ ΠΕΡΙΒΑΛΛΟΝΤΟΣ - ΠΡΟΑΓΩΓΗ ΤΗΣ ΑΠΟΔΟΤΙΚΗΣ ΧΡΗΣΗΣ ΤΩΝ ΠΟΡΩΝ </t>
  </si>
  <si>
    <t>ΑΠ 13 -ΔΙΑΤΗΡΗΣΗ ΚΑΙ ΠΡΟΣΤΑΣΙΑ ΤΟΥ ΠΕΡΙΒΑΛΛΟΝΤΟΣ - ΠΡΟΑΓΩΓΗ ΤΗΣ ΑΠΟΔΟΤΙΚΗΣ ΧΡΗΣΗΣ ΤΩΝ ΠΟΡΩΝ ΣΤΗΝ ΠΕΡΙΦΕΡΕΙΑ ΝΟΤΙΟΥ ΑΙΓΑΙΟΥ</t>
  </si>
  <si>
    <t xml:space="preserve">ΑΠ 14 -ΔΙΑΤΗΡΗΣΗ ΚΑΙ ΠΡΟΣΤΑΣΙΑ ΤΟΥ ΠΕΡΙΒΑΛΛΟΝΤΟΣ - ΠΡΟΑΓΩΓΗ ΤΗΣ ΑΠΟΔΟΤΙΚΗΣ ΧΡΗΣΗΣ ΤΩΝ ΠΟΡΩΝ </t>
  </si>
  <si>
    <t>ΑΠ 14Β -ΔΙΑΤΗΡΗΣΗ ΚΑΙ ΠΡΟΣΤΑΣΙΑ ΤΟΥ ΠΕΡΙΒΑΛΛΟΝΤΟΣ  - ΔΙΑΧΕΙΡΙΣΗ ΥΓΡΩΝ ΚΑΙ ΣΤΕΡΕΩΝ ΑΠΟΒΛΗΤΩΝ (ΕΤΠΑ)</t>
  </si>
  <si>
    <t>ΣΥΝΟΛΟ ΤΟΜΕΑ ΠΕΡΙΒΑΛΛΟΝΤΟΣ</t>
  </si>
  <si>
    <t>ΑΠ 15 -ΤΕΧΝΙΚΗ ΒΟΗΘΕΙΑ ΕΤΠΑ</t>
  </si>
  <si>
    <t>ΑΠ 16 -ΤΕΧΝΙΚΗ ΒΟΗΘΕΙΑ ΤΑΜΕΙΟΥ ΣΥΝΟΧΗΣ</t>
  </si>
  <si>
    <t xml:space="preserve">Σύνολο </t>
  </si>
  <si>
    <t>Σύνολο</t>
  </si>
  <si>
    <t>Γενικό σύνολο</t>
  </si>
  <si>
    <t>Λύματα</t>
  </si>
  <si>
    <t>Υδατικοί πόροι</t>
  </si>
  <si>
    <t>Υποτομέας</t>
  </si>
  <si>
    <t>Απορρίμματα</t>
  </si>
  <si>
    <t>Βιοπποικιλότητα</t>
  </si>
  <si>
    <t>Αστική Αναζωογόνηση</t>
  </si>
  <si>
    <r>
      <t xml:space="preserve">Νέος ΑΠ10Β - ΕΦΑΡΜΟΓΗ ΠΟΛΙΤΙΚΩΝ ΓΙΑ ΤΗ ΣΤΗΡΙΞΗ ΔΙΚΑΙΟΥΧΩΝ ΠΟΥ ΠΛΗΤΤΟΝΤΑΙ ΑΠΟ ΑΥΞΗΣΕΙΣ ΤΙΜΩΝ ΕΝΕΡΓΕΙΑΣ </t>
    </r>
    <r>
      <rPr>
        <b/>
        <i/>
        <sz val="8"/>
        <color rgb="FFFF0000"/>
        <rFont val="Calibri"/>
        <family val="2"/>
        <charset val="161"/>
        <scheme val="minor"/>
      </rPr>
      <t>(προτεινόμενος)</t>
    </r>
  </si>
  <si>
    <t>% Μεταβολή από 5η Αναθεώρηση</t>
  </si>
  <si>
    <t>(10)</t>
  </si>
  <si>
    <t>(11)=(10)-(5)</t>
  </si>
  <si>
    <t>(12)</t>
  </si>
  <si>
    <t>(13)=(9) / (4)</t>
  </si>
  <si>
    <t xml:space="preserve"> Προτεινόμενες τροποποιήσεις 
ως προς την 5η Αναθεώρηση 
(ποσά σε €)</t>
  </si>
  <si>
    <t>Σιδηροδρομικά</t>
  </si>
  <si>
    <t>Οδικά – οδική ασφάλεια</t>
  </si>
  <si>
    <t>Λιμάνια – Ναυσιπλοϊα</t>
  </si>
  <si>
    <t>Α/δ – Αεροναυτιλία</t>
  </si>
  <si>
    <t>Καθαρές αστικές μεταφορές</t>
  </si>
  <si>
    <t>Ενεργειακή αναβάθμιση</t>
  </si>
  <si>
    <t>Βιοποικιλότητα</t>
  </si>
  <si>
    <t>Αντιπλημμυρικά</t>
  </si>
  <si>
    <t>Στερεά</t>
  </si>
  <si>
    <t>Αστική αναζωγόνηση</t>
  </si>
  <si>
    <t>ΤΕΧΝΙΚΗ ΒΟΗΘΕΙΑ</t>
  </si>
  <si>
    <t xml:space="preserve"> Προτεινόμενες τροποποιήσεις αθροιστικά ανά Τομέα (ποσά σε €)</t>
  </si>
  <si>
    <t>ΜΕΤΑΦΟΡΕΣ</t>
  </si>
  <si>
    <t>ΠΕΡΙΒΑΛΛΟΝ</t>
  </si>
  <si>
    <t>ΤΒ</t>
  </si>
  <si>
    <t>Προτεινόμενο ΝΈΟ ΣΕΝΑΡΙΟ 
(DANIEL)</t>
  </si>
  <si>
    <r>
      <rPr>
        <b/>
        <sz val="10"/>
        <color theme="1"/>
        <rFont val="Calibri"/>
        <family val="2"/>
        <charset val="161"/>
        <scheme val="minor"/>
      </rPr>
      <t xml:space="preserve">Προτεινόμενο ΣΕΝΑΡΙΟ </t>
    </r>
    <r>
      <rPr>
        <b/>
        <sz val="8"/>
        <color theme="1"/>
        <rFont val="Calibri"/>
        <family val="2"/>
        <charset val="161"/>
        <scheme val="minor"/>
      </rPr>
      <t xml:space="preserve">
</t>
    </r>
    <r>
      <rPr>
        <b/>
        <sz val="10"/>
        <color theme="1"/>
        <rFont val="Calibri"/>
        <family val="2"/>
        <charset val="161"/>
        <scheme val="minor"/>
      </rPr>
      <t>(Μάιος 2023)</t>
    </r>
  </si>
  <si>
    <t>Προτεινόμενο ΣΕΝΑΡΙΟ 
(Μάιος 2023)</t>
  </si>
  <si>
    <t>Προτεινόμενο ΣΕΝΑΡΙΟ 
(Σεπτέμβριος 2023)</t>
  </si>
  <si>
    <t>Προτεινόμενο ΝΈΟ ΣΕΝΑΡΙΟ 
(Νοέμβριος 2023)</t>
  </si>
  <si>
    <t>ΑΝΑΔΙΑΜΟΡΦΩΜΕΝΗ ΠΡΟΤΑΣΗ  6ης ANΑΘΕΩΡΗΣΗΣ ΕΠ-ΥΜΕΠΕΡΑΑ - ΝΟΕΜΒΡΙΟΣ 2023</t>
  </si>
  <si>
    <t>Ποσοστά διαθέσιμων πόρων ανά Τομέα</t>
  </si>
  <si>
    <t>Προτεινόμενη μείωση ανά Τομέα</t>
  </si>
  <si>
    <t xml:space="preserve">Σταθμισμένο ποσοστό συγχρηματοδότησης </t>
  </si>
  <si>
    <t>Μείωση Εθνικής Συμμετοχής</t>
  </si>
  <si>
    <t>Προτεινόμενη Εθνική Συμμετοχή</t>
  </si>
  <si>
    <t>ΜΕΤΑΦΟΡΕΣ ΣΥΝΟΛΟ</t>
  </si>
  <si>
    <t>ΠΕΡΙΒΑΛΛΟΝ ΣΥΝΟΛΟ</t>
  </si>
  <si>
    <t>ΤΒ ΣΥΝΟΛΟ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</si>
</sst>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€_-;\-* #,##0.00\ _€_-;_-* &quot;-&quot;??\ _€_-;_-@_-"/>
    <numFmt numFmtId="165" formatCode="#,##0.00_ ;[Red]\-#,##0.00\ "/>
    <numFmt numFmtId="166" formatCode="0.0%"/>
    <numFmt numFmtId="167" formatCode="#,##0_ ;[Red]\-#,##0\ "/>
    <numFmt numFmtId="168" formatCode="#,##0.0000_ ;[Red]\-#,##0.0000\ "/>
    <numFmt numFmtId="169" formatCode="#,##0.0_ ;[Red]\-#,##0.0\ "/>
    <numFmt numFmtId="170" formatCode="0.00\ %;[Red]\-0.00\ %"/>
    <numFmt numFmtId="171" formatCode="0.000000000000"/>
    <numFmt numFmtId="172" formatCode="0.0\ %;[Red]\-0.0\ %"/>
    <numFmt numFmtId="173" formatCode="0.0000000000000000000"/>
  </numFmts>
  <fonts count="31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0"/>
      <name val="Arial"/>
      <family val="2"/>
      <charset val="161"/>
    </font>
    <font>
      <u/>
      <sz val="7"/>
      <color indexed="12"/>
      <name val="Arial"/>
      <family val="2"/>
      <charset val="161"/>
    </font>
    <font>
      <sz val="8"/>
      <name val="Calibri"/>
      <family val="2"/>
      <charset val="161"/>
      <scheme val="minor"/>
    </font>
    <font>
      <i/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8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i/>
      <sz val="8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i/>
      <sz val="11"/>
      <color theme="1"/>
      <name val="Calibri"/>
      <family val="2"/>
      <charset val="161"/>
      <scheme val="minor"/>
    </font>
    <font>
      <b/>
      <sz val="18"/>
      <color rgb="FFFF0000"/>
      <name val="Calibri"/>
      <family val="2"/>
      <charset val="161"/>
      <scheme val="minor"/>
    </font>
    <font>
      <sz val="10"/>
      <color indexed="8"/>
      <name val="Arial"/>
      <family val="2"/>
    </font>
    <font>
      <b/>
      <sz val="11"/>
      <color rgb="FF242424"/>
      <name val="Calibri"/>
      <family val="2"/>
    </font>
    <font>
      <b/>
      <sz val="11"/>
      <color theme="1"/>
      <name val="Calibri"/>
      <family val="2"/>
      <scheme val="minor"/>
    </font>
    <font>
      <b/>
      <sz val="8"/>
      <color rgb="FFFF0000"/>
      <name val="Calibri"/>
      <family val="2"/>
      <charset val="161"/>
      <scheme val="minor"/>
    </font>
    <font>
      <b/>
      <i/>
      <sz val="8"/>
      <color rgb="FFFF0000"/>
      <name val="Calibri"/>
      <family val="2"/>
      <charset val="161"/>
      <scheme val="minor"/>
    </font>
    <font>
      <sz val="9"/>
      <name val="Calibri"/>
      <family val="2"/>
      <charset val="161"/>
      <scheme val="minor"/>
    </font>
    <font>
      <b/>
      <sz val="9"/>
      <name val="Calibri"/>
      <family val="2"/>
      <charset val="161"/>
      <scheme val="minor"/>
    </font>
    <font>
      <i/>
      <sz val="9"/>
      <name val="Calibri"/>
      <family val="2"/>
      <charset val="161"/>
      <scheme val="minor"/>
    </font>
    <font>
      <sz val="9"/>
      <color theme="0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EB9C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2" borderId="0" applyNumberFormat="0" applyBorder="0" applyAlignment="0" applyProtection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" fillId="6" borderId="0" applyNumberFormat="0" applyBorder="0" applyAlignment="0" applyProtection="0"/>
    <xf numFmtId="164" fontId="1" fillId="0" borderId="0" applyFont="0" applyFill="0" applyBorder="0" applyAlignment="0" applyProtection="0"/>
    <xf numFmtId="0" fontId="11" fillId="8" borderId="0" applyNumberFormat="0" applyBorder="0" applyAlignment="0" applyProtection="0"/>
    <xf numFmtId="9" fontId="1" fillId="0" borderId="0" applyFont="0" applyFill="0" applyBorder="0" applyAlignment="0" applyProtection="0"/>
    <xf numFmtId="0" fontId="20" fillId="0" borderId="0"/>
    <xf numFmtId="0" fontId="20" fillId="0" borderId="0"/>
  </cellStyleXfs>
  <cellXfs count="235">
    <xf numFmtId="0" fontId="0" fillId="0" borderId="0" xfId="0"/>
    <xf numFmtId="0" fontId="8" fillId="0" borderId="0" xfId="0" applyFont="1"/>
    <xf numFmtId="0" fontId="5" fillId="0" borderId="0" xfId="2" applyFont="1"/>
    <xf numFmtId="0" fontId="6" fillId="0" borderId="1" xfId="2" applyFont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 wrapText="1"/>
    </xf>
    <xf numFmtId="0" fontId="5" fillId="0" borderId="1" xfId="2" applyFont="1" applyBorder="1" applyAlignment="1">
      <alignment horizontal="justify" vertical="center" wrapText="1"/>
    </xf>
    <xf numFmtId="0" fontId="7" fillId="0" borderId="1" xfId="2" applyFont="1" applyBorder="1" applyAlignment="1">
      <alignment horizontal="left" vertical="center" wrapText="1"/>
    </xf>
    <xf numFmtId="0" fontId="6" fillId="0" borderId="11" xfId="2" applyFont="1" applyBorder="1" applyAlignment="1">
      <alignment horizontal="left" vertical="center" wrapText="1"/>
    </xf>
    <xf numFmtId="0" fontId="5" fillId="0" borderId="11" xfId="2" applyFont="1" applyBorder="1" applyAlignment="1">
      <alignment horizontal="left" vertical="center" wrapText="1"/>
    </xf>
    <xf numFmtId="0" fontId="7" fillId="0" borderId="6" xfId="2" applyFont="1" applyBorder="1" applyAlignment="1">
      <alignment horizontal="left" vertical="center" wrapText="1"/>
    </xf>
    <xf numFmtId="0" fontId="7" fillId="0" borderId="7" xfId="2" applyFont="1" applyBorder="1" applyAlignment="1">
      <alignment horizontal="left" vertical="center" wrapText="1"/>
    </xf>
    <xf numFmtId="0" fontId="7" fillId="0" borderId="8" xfId="2" applyFont="1" applyBorder="1" applyAlignment="1">
      <alignment horizontal="left" vertical="center" wrapText="1"/>
    </xf>
    <xf numFmtId="165" fontId="8" fillId="0" borderId="0" xfId="0" applyNumberFormat="1" applyFont="1"/>
    <xf numFmtId="0" fontId="12" fillId="0" borderId="1" xfId="2" applyFont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 wrapText="1"/>
    </xf>
    <xf numFmtId="0" fontId="6" fillId="0" borderId="10" xfId="2" quotePrefix="1" applyFont="1" applyBorder="1" applyAlignment="1">
      <alignment horizontal="center" vertical="center" wrapText="1"/>
    </xf>
    <xf numFmtId="0" fontId="6" fillId="0" borderId="13" xfId="2" quotePrefix="1" applyFont="1" applyBorder="1" applyAlignment="1">
      <alignment horizontal="center" vertical="center" wrapText="1"/>
    </xf>
    <xf numFmtId="0" fontId="6" fillId="0" borderId="16" xfId="2" quotePrefix="1" applyFont="1" applyBorder="1" applyAlignment="1">
      <alignment horizontal="center" vertical="center" wrapText="1"/>
    </xf>
    <xf numFmtId="0" fontId="13" fillId="0" borderId="0" xfId="2" applyFont="1"/>
    <xf numFmtId="0" fontId="7" fillId="0" borderId="0" xfId="2" applyFont="1"/>
    <xf numFmtId="0" fontId="14" fillId="2" borderId="2" xfId="1" applyFont="1" applyBorder="1" applyAlignment="1">
      <alignment horizontal="left" vertical="center" wrapText="1"/>
    </xf>
    <xf numFmtId="0" fontId="6" fillId="0" borderId="0" xfId="2" quotePrefix="1" applyFont="1" applyAlignment="1">
      <alignment horizontal="center" vertical="center" wrapText="1"/>
    </xf>
    <xf numFmtId="0" fontId="0" fillId="0" borderId="0" xfId="0" applyAlignment="1">
      <alignment vertical="center"/>
    </xf>
    <xf numFmtId="165" fontId="7" fillId="9" borderId="1" xfId="2" applyNumberFormat="1" applyFont="1" applyFill="1" applyBorder="1" applyAlignment="1">
      <alignment horizontal="center" vertical="center" wrapText="1"/>
    </xf>
    <xf numFmtId="165" fontId="7" fillId="9" borderId="5" xfId="2" applyNumberFormat="1" applyFont="1" applyFill="1" applyBorder="1" applyAlignment="1">
      <alignment horizontal="center" vertical="center" wrapText="1"/>
    </xf>
    <xf numFmtId="165" fontId="7" fillId="9" borderId="8" xfId="2" applyNumberFormat="1" applyFont="1" applyFill="1" applyBorder="1" applyAlignment="1">
      <alignment horizontal="center" vertical="center" wrapText="1"/>
    </xf>
    <xf numFmtId="0" fontId="12" fillId="7" borderId="6" xfId="2" applyFont="1" applyFill="1" applyBorder="1" applyAlignment="1">
      <alignment horizontal="center" vertical="center" wrapText="1"/>
    </xf>
    <xf numFmtId="0" fontId="12" fillId="7" borderId="7" xfId="2" applyFont="1" applyFill="1" applyBorder="1" applyAlignment="1">
      <alignment horizontal="center" vertical="center" wrapText="1"/>
    </xf>
    <xf numFmtId="0" fontId="6" fillId="7" borderId="9" xfId="2" quotePrefix="1" applyFont="1" applyFill="1" applyBorder="1" applyAlignment="1">
      <alignment horizontal="center" vertical="center" wrapText="1"/>
    </xf>
    <xf numFmtId="0" fontId="6" fillId="7" borderId="10" xfId="2" quotePrefix="1" applyFont="1" applyFill="1" applyBorder="1" applyAlignment="1">
      <alignment horizontal="center" vertical="center" wrapText="1"/>
    </xf>
    <xf numFmtId="0" fontId="6" fillId="7" borderId="13" xfId="2" quotePrefix="1" applyFont="1" applyFill="1" applyBorder="1" applyAlignment="1">
      <alignment horizontal="center" vertical="center" wrapText="1"/>
    </xf>
    <xf numFmtId="167" fontId="5" fillId="0" borderId="1" xfId="2" applyNumberFormat="1" applyFont="1" applyBorder="1" applyAlignment="1">
      <alignment horizontal="center" vertical="center" wrapText="1"/>
    </xf>
    <xf numFmtId="167" fontId="5" fillId="0" borderId="5" xfId="2" applyNumberFormat="1" applyFont="1" applyBorder="1" applyAlignment="1">
      <alignment horizontal="center" vertical="center" wrapText="1"/>
    </xf>
    <xf numFmtId="167" fontId="5" fillId="3" borderId="8" xfId="2" applyNumberFormat="1" applyFont="1" applyFill="1" applyBorder="1" applyAlignment="1">
      <alignment horizontal="center" vertical="center" wrapText="1"/>
    </xf>
    <xf numFmtId="167" fontId="5" fillId="3" borderId="1" xfId="2" applyNumberFormat="1" applyFont="1" applyFill="1" applyBorder="1" applyAlignment="1">
      <alignment horizontal="center" vertical="center" wrapText="1"/>
    </xf>
    <xf numFmtId="167" fontId="5" fillId="0" borderId="8" xfId="2" applyNumberFormat="1" applyFont="1" applyBorder="1" applyAlignment="1">
      <alignment horizontal="center" vertical="center" wrapText="1"/>
    </xf>
    <xf numFmtId="167" fontId="7" fillId="9" borderId="1" xfId="2" applyNumberFormat="1" applyFont="1" applyFill="1" applyBorder="1" applyAlignment="1">
      <alignment horizontal="center" vertical="center" wrapText="1"/>
    </xf>
    <xf numFmtId="167" fontId="7" fillId="9" borderId="5" xfId="2" applyNumberFormat="1" applyFont="1" applyFill="1" applyBorder="1" applyAlignment="1">
      <alignment horizontal="center" vertical="center" wrapText="1"/>
    </xf>
    <xf numFmtId="167" fontId="7" fillId="9" borderId="8" xfId="2" applyNumberFormat="1" applyFont="1" applyFill="1" applyBorder="1" applyAlignment="1">
      <alignment horizontal="center" vertical="center" wrapText="1"/>
    </xf>
    <xf numFmtId="167" fontId="7" fillId="4" borderId="6" xfId="2" applyNumberFormat="1" applyFont="1" applyFill="1" applyBorder="1" applyAlignment="1">
      <alignment horizontal="center" vertical="center" wrapText="1"/>
    </xf>
    <xf numFmtId="167" fontId="7" fillId="4" borderId="7" xfId="2" applyNumberFormat="1" applyFont="1" applyFill="1" applyBorder="1" applyAlignment="1">
      <alignment horizontal="center" vertical="center" wrapText="1"/>
    </xf>
    <xf numFmtId="167" fontId="7" fillId="4" borderId="8" xfId="2" applyNumberFormat="1" applyFont="1" applyFill="1" applyBorder="1" applyAlignment="1">
      <alignment horizontal="center" vertical="center" wrapText="1"/>
    </xf>
    <xf numFmtId="167" fontId="7" fillId="4" borderId="1" xfId="2" applyNumberFormat="1" applyFont="1" applyFill="1" applyBorder="1" applyAlignment="1">
      <alignment horizontal="center" vertical="center" wrapText="1"/>
    </xf>
    <xf numFmtId="167" fontId="14" fillId="2" borderId="2" xfId="1" applyNumberFormat="1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9" fillId="0" borderId="0" xfId="2" applyFont="1"/>
    <xf numFmtId="167" fontId="0" fillId="0" borderId="0" xfId="0" applyNumberFormat="1" applyAlignment="1">
      <alignment vertical="center"/>
    </xf>
    <xf numFmtId="0" fontId="12" fillId="7" borderId="19" xfId="2" applyFont="1" applyFill="1" applyBorder="1" applyAlignment="1">
      <alignment horizontal="center" vertical="center" wrapText="1"/>
    </xf>
    <xf numFmtId="169" fontId="5" fillId="3" borderId="1" xfId="2" applyNumberFormat="1" applyFont="1" applyFill="1" applyBorder="1" applyAlignment="1">
      <alignment horizontal="center" vertical="center" wrapText="1"/>
    </xf>
    <xf numFmtId="169" fontId="0" fillId="0" borderId="0" xfId="0" applyNumberFormat="1"/>
    <xf numFmtId="167" fontId="0" fillId="0" borderId="1" xfId="0" applyNumberFormat="1" applyBorder="1" applyAlignment="1">
      <alignment vertical="center"/>
    </xf>
    <xf numFmtId="167" fontId="22" fillId="10" borderId="1" xfId="0" applyNumberFormat="1" applyFont="1" applyFill="1" applyBorder="1" applyAlignment="1">
      <alignment vertical="center"/>
    </xf>
    <xf numFmtId="0" fontId="12" fillId="10" borderId="1" xfId="2" applyFont="1" applyFill="1" applyBorder="1" applyAlignment="1">
      <alignment horizontal="center" vertical="center" wrapText="1"/>
    </xf>
    <xf numFmtId="0" fontId="0" fillId="0" borderId="18" xfId="0" applyBorder="1" applyAlignment="1">
      <alignment vertical="center"/>
    </xf>
    <xf numFmtId="167" fontId="5" fillId="5" borderId="1" xfId="2" applyNumberFormat="1" applyFont="1" applyFill="1" applyBorder="1" applyAlignment="1">
      <alignment horizontal="center" vertical="center" wrapText="1"/>
    </xf>
    <xf numFmtId="167" fontId="5" fillId="5" borderId="5" xfId="2" applyNumberFormat="1" applyFont="1" applyFill="1" applyBorder="1" applyAlignment="1">
      <alignment horizontal="center" vertical="center" wrapText="1"/>
    </xf>
    <xf numFmtId="167" fontId="5" fillId="5" borderId="8" xfId="2" applyNumberFormat="1" applyFont="1" applyFill="1" applyBorder="1" applyAlignment="1">
      <alignment horizontal="center" vertical="center" wrapText="1"/>
    </xf>
    <xf numFmtId="0" fontId="5" fillId="5" borderId="1" xfId="2" applyFont="1" applyFill="1" applyBorder="1" applyAlignment="1">
      <alignment horizontal="left" vertical="center" wrapText="1"/>
    </xf>
    <xf numFmtId="168" fontId="5" fillId="5" borderId="8" xfId="2" applyNumberFormat="1" applyFont="1" applyFill="1" applyBorder="1" applyAlignment="1">
      <alignment horizontal="center" vertical="center" wrapText="1"/>
    </xf>
    <xf numFmtId="169" fontId="5" fillId="5" borderId="1" xfId="2" applyNumberFormat="1" applyFont="1" applyFill="1" applyBorder="1" applyAlignment="1">
      <alignment horizontal="center" vertical="center" wrapText="1"/>
    </xf>
    <xf numFmtId="0" fontId="5" fillId="5" borderId="1" xfId="2" applyFont="1" applyFill="1" applyBorder="1" applyAlignment="1">
      <alignment horizontal="justify" vertical="center" wrapText="1"/>
    </xf>
    <xf numFmtId="167" fontId="5" fillId="5" borderId="20" xfId="2" applyNumberFormat="1" applyFont="1" applyFill="1" applyBorder="1" applyAlignment="1">
      <alignment horizontal="center" vertical="center" textRotation="8" wrapText="1"/>
    </xf>
    <xf numFmtId="0" fontId="7" fillId="0" borderId="22" xfId="2" applyFont="1" applyBorder="1" applyAlignment="1">
      <alignment horizontal="left" vertical="center" wrapText="1"/>
    </xf>
    <xf numFmtId="0" fontId="7" fillId="0" borderId="18" xfId="2" applyFont="1" applyBorder="1" applyAlignment="1">
      <alignment horizontal="left" vertical="center" wrapText="1"/>
    </xf>
    <xf numFmtId="0" fontId="5" fillId="0" borderId="2" xfId="2" applyFont="1" applyBorder="1" applyAlignment="1">
      <alignment horizontal="justify" vertical="center" wrapText="1"/>
    </xf>
    <xf numFmtId="0" fontId="5" fillId="0" borderId="21" xfId="2" applyFont="1" applyBorder="1" applyAlignment="1">
      <alignment horizontal="justify" vertical="center" wrapText="1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9" fillId="0" borderId="0" xfId="0" applyFont="1"/>
    <xf numFmtId="0" fontId="5" fillId="0" borderId="1" xfId="2" applyFont="1" applyBorder="1" applyAlignment="1">
      <alignment horizontal="center" vertical="center" wrapText="1"/>
    </xf>
    <xf numFmtId="0" fontId="23" fillId="12" borderId="1" xfId="2" applyFont="1" applyFill="1" applyBorder="1" applyAlignment="1">
      <alignment horizontal="left" vertical="center" wrapText="1"/>
    </xf>
    <xf numFmtId="169" fontId="10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167" fontId="25" fillId="5" borderId="8" xfId="2" applyNumberFormat="1" applyFont="1" applyFill="1" applyBorder="1" applyAlignment="1">
      <alignment horizontal="center" vertical="center" wrapText="1"/>
    </xf>
    <xf numFmtId="167" fontId="25" fillId="5" borderId="1" xfId="2" applyNumberFormat="1" applyFont="1" applyFill="1" applyBorder="1" applyAlignment="1">
      <alignment horizontal="center" vertical="center" wrapText="1"/>
    </xf>
    <xf numFmtId="165" fontId="26" fillId="9" borderId="1" xfId="2" applyNumberFormat="1" applyFont="1" applyFill="1" applyBorder="1" applyAlignment="1">
      <alignment horizontal="center" vertical="center" wrapText="1"/>
    </xf>
    <xf numFmtId="167" fontId="26" fillId="9" borderId="1" xfId="2" applyNumberFormat="1" applyFont="1" applyFill="1" applyBorder="1" applyAlignment="1">
      <alignment horizontal="center" vertical="center" wrapText="1"/>
    </xf>
    <xf numFmtId="167" fontId="26" fillId="4" borderId="8" xfId="2" applyNumberFormat="1" applyFont="1" applyFill="1" applyBorder="1" applyAlignment="1">
      <alignment horizontal="center" vertical="center" wrapText="1"/>
    </xf>
    <xf numFmtId="167" fontId="26" fillId="4" borderId="1" xfId="2" applyNumberFormat="1" applyFont="1" applyFill="1" applyBorder="1" applyAlignment="1">
      <alignment horizontal="center" vertical="center" wrapText="1"/>
    </xf>
    <xf numFmtId="167" fontId="5" fillId="3" borderId="6" xfId="2" applyNumberFormat="1" applyFont="1" applyFill="1" applyBorder="1" applyAlignment="1">
      <alignment horizontal="center" vertical="center" wrapText="1"/>
    </xf>
    <xf numFmtId="167" fontId="5" fillId="3" borderId="7" xfId="2" applyNumberFormat="1" applyFont="1" applyFill="1" applyBorder="1" applyAlignment="1">
      <alignment horizontal="center" vertical="center" wrapText="1"/>
    </xf>
    <xf numFmtId="167" fontId="5" fillId="3" borderId="25" xfId="2" applyNumberFormat="1" applyFont="1" applyFill="1" applyBorder="1" applyAlignment="1">
      <alignment horizontal="center" vertical="center" wrapText="1"/>
    </xf>
    <xf numFmtId="167" fontId="5" fillId="0" borderId="20" xfId="2" applyNumberFormat="1" applyFont="1" applyBorder="1" applyAlignment="1">
      <alignment horizontal="center" vertical="center" wrapText="1"/>
    </xf>
    <xf numFmtId="167" fontId="5" fillId="5" borderId="20" xfId="2" applyNumberFormat="1" applyFont="1" applyFill="1" applyBorder="1" applyAlignment="1">
      <alignment horizontal="center" vertical="center" wrapText="1"/>
    </xf>
    <xf numFmtId="167" fontId="5" fillId="3" borderId="20" xfId="2" applyNumberFormat="1" applyFont="1" applyFill="1" applyBorder="1" applyAlignment="1">
      <alignment horizontal="center" vertical="center" wrapText="1"/>
    </xf>
    <xf numFmtId="165" fontId="7" fillId="9" borderId="14" xfId="2" applyNumberFormat="1" applyFont="1" applyFill="1" applyBorder="1" applyAlignment="1">
      <alignment horizontal="center" vertical="center" wrapText="1"/>
    </xf>
    <xf numFmtId="167" fontId="7" fillId="9" borderId="20" xfId="2" applyNumberFormat="1" applyFont="1" applyFill="1" applyBorder="1" applyAlignment="1">
      <alignment horizontal="center" vertical="center" wrapText="1"/>
    </xf>
    <xf numFmtId="167" fontId="7" fillId="4" borderId="25" xfId="2" applyNumberFormat="1" applyFont="1" applyFill="1" applyBorder="1" applyAlignment="1">
      <alignment horizontal="center" vertical="center" wrapText="1"/>
    </xf>
    <xf numFmtId="167" fontId="7" fillId="4" borderId="20" xfId="2" applyNumberFormat="1" applyFont="1" applyFill="1" applyBorder="1" applyAlignment="1">
      <alignment horizontal="center" vertical="center" wrapText="1"/>
    </xf>
    <xf numFmtId="167" fontId="14" fillId="2" borderId="24" xfId="1" applyNumberFormat="1" applyFont="1" applyBorder="1" applyAlignment="1">
      <alignment horizontal="center" vertical="center" wrapText="1"/>
    </xf>
    <xf numFmtId="167" fontId="2" fillId="2" borderId="27" xfId="1" applyNumberFormat="1" applyBorder="1" applyAlignment="1">
      <alignment horizontal="center" vertical="center" wrapText="1"/>
    </xf>
    <xf numFmtId="169" fontId="10" fillId="0" borderId="6" xfId="0" applyNumberFormat="1" applyFont="1" applyBorder="1" applyAlignment="1">
      <alignment vertical="center"/>
    </xf>
    <xf numFmtId="169" fontId="10" fillId="0" borderId="7" xfId="0" applyNumberFormat="1" applyFont="1" applyBorder="1" applyAlignment="1">
      <alignment vertical="center"/>
    </xf>
    <xf numFmtId="0" fontId="27" fillId="0" borderId="8" xfId="2" quotePrefix="1" applyFont="1" applyBorder="1" applyAlignment="1">
      <alignment horizontal="center" vertical="center" wrapText="1"/>
    </xf>
    <xf numFmtId="169" fontId="10" fillId="0" borderId="8" xfId="0" applyNumberFormat="1" applyFont="1" applyBorder="1" applyAlignment="1">
      <alignment vertical="center"/>
    </xf>
    <xf numFmtId="165" fontId="26" fillId="9" borderId="8" xfId="2" applyNumberFormat="1" applyFont="1" applyFill="1" applyBorder="1" applyAlignment="1">
      <alignment horizontal="center" vertical="center" wrapText="1"/>
    </xf>
    <xf numFmtId="167" fontId="26" fillId="9" borderId="8" xfId="2" applyNumberFormat="1" applyFont="1" applyFill="1" applyBorder="1" applyAlignment="1">
      <alignment horizontal="center" vertical="center" wrapText="1"/>
    </xf>
    <xf numFmtId="0" fontId="12" fillId="7" borderId="20" xfId="2" applyFont="1" applyFill="1" applyBorder="1" applyAlignment="1">
      <alignment horizontal="center" vertical="center" wrapText="1"/>
    </xf>
    <xf numFmtId="0" fontId="6" fillId="0" borderId="26" xfId="2" quotePrefix="1" applyFont="1" applyBorder="1" applyAlignment="1">
      <alignment horizontal="center" vertical="center" wrapText="1"/>
    </xf>
    <xf numFmtId="167" fontId="26" fillId="4" borderId="6" xfId="2" applyNumberFormat="1" applyFont="1" applyFill="1" applyBorder="1" applyAlignment="1">
      <alignment horizontal="center" vertical="center" wrapText="1"/>
    </xf>
    <xf numFmtId="167" fontId="26" fillId="4" borderId="7" xfId="2" applyNumberFormat="1" applyFont="1" applyFill="1" applyBorder="1" applyAlignment="1">
      <alignment horizontal="center" vertical="center" wrapText="1"/>
    </xf>
    <xf numFmtId="166" fontId="26" fillId="4" borderId="18" xfId="7" applyNumberFormat="1" applyFont="1" applyFill="1" applyBorder="1" applyAlignment="1">
      <alignment horizontal="center" vertical="center" wrapText="1"/>
    </xf>
    <xf numFmtId="0" fontId="12" fillId="7" borderId="24" xfId="2" applyFont="1" applyFill="1" applyBorder="1" applyAlignment="1">
      <alignment horizontal="center" vertical="center" wrapText="1"/>
    </xf>
    <xf numFmtId="0" fontId="12" fillId="7" borderId="2" xfId="2" applyFont="1" applyFill="1" applyBorder="1" applyAlignment="1">
      <alignment horizontal="center" vertical="center" wrapText="1"/>
    </xf>
    <xf numFmtId="0" fontId="12" fillId="7" borderId="18" xfId="2" applyFont="1" applyFill="1" applyBorder="1" applyAlignment="1">
      <alignment horizontal="center" vertical="center" wrapText="1"/>
    </xf>
    <xf numFmtId="166" fontId="26" fillId="2" borderId="18" xfId="7" applyNumberFormat="1" applyFont="1" applyFill="1" applyBorder="1" applyAlignment="1">
      <alignment horizontal="center" vertical="center" wrapText="1"/>
    </xf>
    <xf numFmtId="0" fontId="6" fillId="0" borderId="23" xfId="2" quotePrefix="1" applyFont="1" applyBorder="1" applyAlignment="1">
      <alignment horizontal="center" vertical="center" wrapText="1"/>
    </xf>
    <xf numFmtId="169" fontId="10" fillId="0" borderId="20" xfId="0" applyNumberFormat="1" applyFont="1" applyBorder="1" applyAlignment="1">
      <alignment vertical="center"/>
    </xf>
    <xf numFmtId="165" fontId="26" fillId="9" borderId="20" xfId="2" applyNumberFormat="1" applyFont="1" applyFill="1" applyBorder="1" applyAlignment="1">
      <alignment horizontal="center" vertical="center" wrapText="1"/>
    </xf>
    <xf numFmtId="0" fontId="17" fillId="7" borderId="27" xfId="2" applyFont="1" applyFill="1" applyBorder="1" applyAlignment="1">
      <alignment horizontal="center" vertical="center" wrapText="1"/>
    </xf>
    <xf numFmtId="0" fontId="6" fillId="7" borderId="26" xfId="2" quotePrefix="1" applyFont="1" applyFill="1" applyBorder="1" applyAlignment="1">
      <alignment horizontal="center" vertical="center" wrapText="1"/>
    </xf>
    <xf numFmtId="169" fontId="10" fillId="0" borderId="25" xfId="0" applyNumberFormat="1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67" fontId="25" fillId="5" borderId="20" xfId="2" applyNumberFormat="1" applyFont="1" applyFill="1" applyBorder="1" applyAlignment="1">
      <alignment horizontal="center" vertical="center" wrapText="1"/>
    </xf>
    <xf numFmtId="167" fontId="26" fillId="9" borderId="20" xfId="2" applyNumberFormat="1" applyFont="1" applyFill="1" applyBorder="1" applyAlignment="1">
      <alignment horizontal="center" vertical="center" wrapText="1"/>
    </xf>
    <xf numFmtId="167" fontId="28" fillId="2" borderId="27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70" fontId="10" fillId="0" borderId="18" xfId="7" applyNumberFormat="1" applyFont="1" applyBorder="1" applyAlignment="1">
      <alignment horizontal="center" vertical="center"/>
    </xf>
    <xf numFmtId="170" fontId="10" fillId="0" borderId="1" xfId="7" applyNumberFormat="1" applyFont="1" applyBorder="1" applyAlignment="1">
      <alignment horizontal="center" vertical="center"/>
    </xf>
    <xf numFmtId="170" fontId="10" fillId="0" borderId="18" xfId="0" applyNumberFormat="1" applyFont="1" applyBorder="1" applyAlignment="1">
      <alignment horizontal="center" vertical="center"/>
    </xf>
    <xf numFmtId="170" fontId="10" fillId="12" borderId="18" xfId="7" applyNumberFormat="1" applyFont="1" applyFill="1" applyBorder="1" applyAlignment="1">
      <alignment horizontal="center" vertical="center"/>
    </xf>
    <xf numFmtId="170" fontId="10" fillId="12" borderId="1" xfId="7" applyNumberFormat="1" applyFont="1" applyFill="1" applyBorder="1" applyAlignment="1">
      <alignment horizontal="center" vertical="center"/>
    </xf>
    <xf numFmtId="170" fontId="29" fillId="9" borderId="18" xfId="7" applyNumberFormat="1" applyFont="1" applyFill="1" applyBorder="1" applyAlignment="1">
      <alignment horizontal="center" vertical="center"/>
    </xf>
    <xf numFmtId="170" fontId="29" fillId="9" borderId="1" xfId="7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9" fontId="26" fillId="4" borderId="25" xfId="2" applyNumberFormat="1" applyFont="1" applyFill="1" applyBorder="1" applyAlignment="1">
      <alignment horizontal="center" vertical="center" wrapText="1"/>
    </xf>
    <xf numFmtId="169" fontId="26" fillId="4" borderId="20" xfId="2" applyNumberFormat="1" applyFont="1" applyFill="1" applyBorder="1" applyAlignment="1">
      <alignment horizontal="center" vertical="center" wrapText="1"/>
    </xf>
    <xf numFmtId="170" fontId="10" fillId="0" borderId="18" xfId="7" applyNumberFormat="1" applyFont="1" applyFill="1" applyBorder="1" applyAlignment="1">
      <alignment horizontal="center" vertical="center"/>
    </xf>
    <xf numFmtId="170" fontId="10" fillId="0" borderId="1" xfId="7" applyNumberFormat="1" applyFont="1" applyFill="1" applyBorder="1" applyAlignment="1">
      <alignment horizontal="center" vertical="center"/>
    </xf>
    <xf numFmtId="169" fontId="5" fillId="0" borderId="1" xfId="2" applyNumberFormat="1" applyFont="1" applyBorder="1" applyAlignment="1">
      <alignment horizontal="center" vertical="center" wrapText="1"/>
    </xf>
    <xf numFmtId="167" fontId="5" fillId="14" borderId="1" xfId="2" applyNumberFormat="1" applyFont="1" applyFill="1" applyBorder="1" applyAlignment="1">
      <alignment horizontal="center" vertical="center" wrapText="1"/>
    </xf>
    <xf numFmtId="167" fontId="5" fillId="14" borderId="8" xfId="2" applyNumberFormat="1" applyFont="1" applyFill="1" applyBorder="1" applyAlignment="1">
      <alignment horizontal="center" vertical="center" wrapText="1"/>
    </xf>
    <xf numFmtId="167" fontId="5" fillId="14" borderId="20" xfId="2" applyNumberFormat="1" applyFont="1" applyFill="1" applyBorder="1" applyAlignment="1">
      <alignment horizontal="center" vertical="center" wrapText="1"/>
    </xf>
    <xf numFmtId="169" fontId="10" fillId="0" borderId="28" xfId="0" applyNumberFormat="1" applyFont="1" applyBorder="1" applyAlignment="1">
      <alignment vertical="center"/>
    </xf>
    <xf numFmtId="169" fontId="10" fillId="0" borderId="11" xfId="0" applyNumberFormat="1" applyFont="1" applyBorder="1" applyAlignment="1">
      <alignment vertical="center"/>
    </xf>
    <xf numFmtId="169" fontId="10" fillId="0" borderId="29" xfId="0" applyNumberFormat="1" applyFont="1" applyBorder="1" applyAlignment="1">
      <alignment vertical="center"/>
    </xf>
    <xf numFmtId="0" fontId="5" fillId="0" borderId="11" xfId="2" applyFont="1" applyBorder="1" applyAlignment="1">
      <alignment horizontal="center" vertical="center" wrapText="1"/>
    </xf>
    <xf numFmtId="167" fontId="5" fillId="0" borderId="11" xfId="2" applyNumberFormat="1" applyFont="1" applyBorder="1" applyAlignment="1">
      <alignment horizontal="center" vertical="center" wrapText="1"/>
    </xf>
    <xf numFmtId="167" fontId="5" fillId="0" borderId="12" xfId="2" applyNumberFormat="1" applyFont="1" applyBorder="1" applyAlignment="1">
      <alignment horizontal="center" vertical="center" wrapText="1"/>
    </xf>
    <xf numFmtId="169" fontId="0" fillId="0" borderId="0" xfId="0" applyNumberFormat="1" applyAlignment="1">
      <alignment vertical="center"/>
    </xf>
    <xf numFmtId="171" fontId="0" fillId="0" borderId="0" xfId="0" applyNumberFormat="1" applyAlignment="1">
      <alignment vertical="center"/>
    </xf>
    <xf numFmtId="10" fontId="0" fillId="0" borderId="0" xfId="7" applyNumberFormat="1" applyFont="1" applyAlignment="1">
      <alignment vertical="center"/>
    </xf>
    <xf numFmtId="10" fontId="0" fillId="0" borderId="0" xfId="0" applyNumberFormat="1" applyAlignment="1">
      <alignment vertical="center"/>
    </xf>
    <xf numFmtId="169" fontId="10" fillId="0" borderId="0" xfId="0" applyNumberFormat="1" applyFont="1" applyAlignment="1">
      <alignment horizontal="center" vertical="center"/>
    </xf>
    <xf numFmtId="165" fontId="0" fillId="0" borderId="0" xfId="0" applyNumberFormat="1" applyAlignment="1">
      <alignment vertical="center"/>
    </xf>
    <xf numFmtId="0" fontId="0" fillId="0" borderId="0" xfId="0" applyAlignment="1">
      <alignment wrapText="1"/>
    </xf>
    <xf numFmtId="167" fontId="0" fillId="0" borderId="0" xfId="0" applyNumberFormat="1"/>
    <xf numFmtId="0" fontId="21" fillId="0" borderId="5" xfId="0" applyFont="1" applyBorder="1" applyAlignment="1">
      <alignment vertical="center"/>
    </xf>
    <xf numFmtId="172" fontId="0" fillId="0" borderId="1" xfId="7" applyNumberFormat="1" applyFont="1" applyFill="1" applyBorder="1" applyAlignment="1">
      <alignment horizontal="center" vertical="center"/>
    </xf>
    <xf numFmtId="172" fontId="0" fillId="0" borderId="1" xfId="7" applyNumberFormat="1" applyFont="1" applyBorder="1" applyAlignment="1">
      <alignment horizontal="center" vertical="center"/>
    </xf>
    <xf numFmtId="0" fontId="22" fillId="0" borderId="5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0" fontId="18" fillId="0" borderId="18" xfId="0" applyFont="1" applyBorder="1" applyAlignment="1">
      <alignment vertical="center"/>
    </xf>
    <xf numFmtId="172" fontId="30" fillId="10" borderId="1" xfId="7" applyNumberFormat="1" applyFont="1" applyFill="1" applyBorder="1" applyAlignment="1">
      <alignment horizontal="center"/>
    </xf>
    <xf numFmtId="0" fontId="9" fillId="0" borderId="1" xfId="0" applyFont="1" applyBorder="1"/>
    <xf numFmtId="0" fontId="5" fillId="0" borderId="1" xfId="2" applyFont="1" applyBorder="1"/>
    <xf numFmtId="167" fontId="0" fillId="0" borderId="1" xfId="0" quotePrefix="1" applyNumberFormat="1" applyBorder="1" applyAlignment="1">
      <alignment vertical="center"/>
    </xf>
    <xf numFmtId="0" fontId="16" fillId="15" borderId="1" xfId="0" applyFont="1" applyFill="1" applyBorder="1" applyAlignment="1">
      <alignment horizontal="center" vertical="center" wrapText="1"/>
    </xf>
    <xf numFmtId="0" fontId="17" fillId="3" borderId="1" xfId="2" applyFont="1" applyFill="1" applyBorder="1" applyAlignment="1">
      <alignment horizontal="center" vertical="center" wrapText="1"/>
    </xf>
    <xf numFmtId="0" fontId="17" fillId="11" borderId="1" xfId="2" applyFont="1" applyFill="1" applyBorder="1" applyAlignment="1">
      <alignment horizontal="center" vertical="center" wrapText="1"/>
    </xf>
    <xf numFmtId="0" fontId="5" fillId="0" borderId="18" xfId="2" applyFont="1" applyBorder="1"/>
    <xf numFmtId="0" fontId="12" fillId="3" borderId="1" xfId="2" applyFont="1" applyFill="1" applyBorder="1" applyAlignment="1">
      <alignment horizontal="center" vertical="center" wrapText="1"/>
    </xf>
    <xf numFmtId="0" fontId="12" fillId="11" borderId="1" xfId="2" applyFont="1" applyFill="1" applyBorder="1" applyAlignment="1">
      <alignment horizontal="center" vertical="center" wrapText="1"/>
    </xf>
    <xf numFmtId="0" fontId="12" fillId="15" borderId="1" xfId="2" applyFont="1" applyFill="1" applyBorder="1" applyAlignment="1">
      <alignment horizontal="center" vertical="center" wrapText="1"/>
    </xf>
    <xf numFmtId="0" fontId="17" fillId="15" borderId="1" xfId="2" applyFont="1" applyFill="1" applyBorder="1" applyAlignment="1">
      <alignment horizontal="center" vertical="center" wrapText="1"/>
    </xf>
    <xf numFmtId="169" fontId="10" fillId="15" borderId="6" xfId="0" applyNumberFormat="1" applyFont="1" applyFill="1" applyBorder="1" applyAlignment="1">
      <alignment vertical="center"/>
    </xf>
    <xf numFmtId="169" fontId="10" fillId="15" borderId="7" xfId="0" applyNumberFormat="1" applyFont="1" applyFill="1" applyBorder="1" applyAlignment="1">
      <alignment vertical="center"/>
    </xf>
    <xf numFmtId="169" fontId="10" fillId="15" borderId="8" xfId="0" applyNumberFormat="1" applyFont="1" applyFill="1" applyBorder="1" applyAlignment="1">
      <alignment vertical="center"/>
    </xf>
    <xf numFmtId="169" fontId="10" fillId="15" borderId="1" xfId="0" applyNumberFormat="1" applyFont="1" applyFill="1" applyBorder="1" applyAlignment="1">
      <alignment vertical="center"/>
    </xf>
    <xf numFmtId="0" fontId="10" fillId="13" borderId="8" xfId="4" applyFont="1" applyFill="1" applyBorder="1" applyAlignment="1">
      <alignment horizontal="left" vertical="center" wrapText="1"/>
    </xf>
    <xf numFmtId="0" fontId="10" fillId="13" borderId="18" xfId="4" applyFont="1" applyFill="1" applyBorder="1" applyAlignment="1">
      <alignment horizontal="left" vertical="center" wrapText="1"/>
    </xf>
    <xf numFmtId="0" fontId="10" fillId="13" borderId="1" xfId="4" applyFont="1" applyFill="1" applyBorder="1" applyAlignment="1">
      <alignment horizontal="left" vertical="center" wrapText="1"/>
    </xf>
    <xf numFmtId="167" fontId="10" fillId="13" borderId="8" xfId="4" applyNumberFormat="1" applyFont="1" applyFill="1" applyBorder="1" applyAlignment="1">
      <alignment horizontal="center" vertical="center" wrapText="1"/>
    </xf>
    <xf numFmtId="167" fontId="10" fillId="13" borderId="1" xfId="4" applyNumberFormat="1" applyFont="1" applyFill="1" applyBorder="1" applyAlignment="1">
      <alignment horizontal="center" vertical="center" wrapText="1"/>
    </xf>
    <xf numFmtId="167" fontId="10" fillId="13" borderId="20" xfId="4" applyNumberFormat="1" applyFont="1" applyFill="1" applyBorder="1" applyAlignment="1">
      <alignment horizontal="center" vertical="center" wrapText="1"/>
    </xf>
    <xf numFmtId="169" fontId="10" fillId="13" borderId="20" xfId="4" applyNumberFormat="1" applyFont="1" applyFill="1" applyBorder="1" applyAlignment="1">
      <alignment horizontal="center" vertical="center" wrapText="1"/>
    </xf>
    <xf numFmtId="166" fontId="10" fillId="13" borderId="18" xfId="7" applyNumberFormat="1" applyFont="1" applyFill="1" applyBorder="1" applyAlignment="1">
      <alignment horizontal="center" vertical="center" wrapText="1"/>
    </xf>
    <xf numFmtId="0" fontId="10" fillId="13" borderId="9" xfId="4" applyFont="1" applyFill="1" applyBorder="1" applyAlignment="1">
      <alignment horizontal="left" vertical="center" wrapText="1"/>
    </xf>
    <xf numFmtId="0" fontId="10" fillId="13" borderId="23" xfId="4" applyFont="1" applyFill="1" applyBorder="1" applyAlignment="1">
      <alignment horizontal="left" vertical="center" wrapText="1"/>
    </xf>
    <xf numFmtId="0" fontId="10" fillId="13" borderId="10" xfId="4" applyFont="1" applyFill="1" applyBorder="1" applyAlignment="1">
      <alignment horizontal="left" vertical="center" wrapText="1"/>
    </xf>
    <xf numFmtId="167" fontId="10" fillId="13" borderId="9" xfId="4" applyNumberFormat="1" applyFont="1" applyFill="1" applyBorder="1" applyAlignment="1">
      <alignment horizontal="center" vertical="center" wrapText="1"/>
    </xf>
    <xf numFmtId="167" fontId="10" fillId="13" borderId="10" xfId="4" applyNumberFormat="1" applyFont="1" applyFill="1" applyBorder="1" applyAlignment="1">
      <alignment horizontal="center" vertical="center" wrapText="1"/>
    </xf>
    <xf numFmtId="167" fontId="10" fillId="13" borderId="26" xfId="4" applyNumberFormat="1" applyFont="1" applyFill="1" applyBorder="1" applyAlignment="1">
      <alignment horizontal="center" vertical="center" wrapText="1"/>
    </xf>
    <xf numFmtId="169" fontId="10" fillId="13" borderId="26" xfId="4" applyNumberFormat="1" applyFont="1" applyFill="1" applyBorder="1" applyAlignment="1">
      <alignment horizontal="center" vertical="center" wrapText="1"/>
    </xf>
    <xf numFmtId="173" fontId="0" fillId="0" borderId="0" xfId="0" applyNumberFormat="1"/>
    <xf numFmtId="0" fontId="17" fillId="0" borderId="5" xfId="2" applyFont="1" applyBorder="1" applyAlignment="1">
      <alignment horizontal="center" vertical="center"/>
    </xf>
    <xf numFmtId="0" fontId="17" fillId="0" borderId="15" xfId="2" applyFont="1" applyBorder="1" applyAlignment="1">
      <alignment horizontal="center" vertical="center"/>
    </xf>
    <xf numFmtId="0" fontId="6" fillId="0" borderId="11" xfId="2" applyFont="1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16" fillId="11" borderId="6" xfId="0" applyFont="1" applyFill="1" applyBorder="1" applyAlignment="1">
      <alignment horizontal="center" vertical="center" wrapText="1"/>
    </xf>
    <xf numFmtId="0" fontId="9" fillId="11" borderId="7" xfId="0" applyFont="1" applyFill="1" applyBorder="1" applyAlignment="1">
      <alignment horizontal="center" vertical="center"/>
    </xf>
    <xf numFmtId="0" fontId="9" fillId="11" borderId="25" xfId="0" applyFont="1" applyFill="1" applyBorder="1" applyAlignment="1">
      <alignment horizontal="center" vertical="center"/>
    </xf>
    <xf numFmtId="0" fontId="26" fillId="13" borderId="22" xfId="2" applyFont="1" applyFill="1" applyBorder="1" applyAlignment="1">
      <alignment horizontal="center" vertical="center" wrapText="1"/>
    </xf>
    <xf numFmtId="0" fontId="26" fillId="13" borderId="25" xfId="2" applyFont="1" applyFill="1" applyBorder="1" applyAlignment="1">
      <alignment horizontal="center" vertical="center" wrapText="1"/>
    </xf>
    <xf numFmtId="0" fontId="16" fillId="15" borderId="6" xfId="0" applyFont="1" applyFill="1" applyBorder="1" applyAlignment="1">
      <alignment horizontal="center" vertical="center" wrapText="1"/>
    </xf>
    <xf numFmtId="0" fontId="9" fillId="15" borderId="7" xfId="0" applyFont="1" applyFill="1" applyBorder="1" applyAlignment="1">
      <alignment horizontal="center" vertical="center"/>
    </xf>
    <xf numFmtId="0" fontId="9" fillId="15" borderId="25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15" fillId="9" borderId="5" xfId="2" applyFont="1" applyFill="1" applyBorder="1" applyAlignment="1">
      <alignment horizontal="right" vertical="center" wrapText="1"/>
    </xf>
    <xf numFmtId="0" fontId="15" fillId="9" borderId="17" xfId="2" applyFont="1" applyFill="1" applyBorder="1" applyAlignment="1">
      <alignment horizontal="right" vertical="center" wrapText="1"/>
    </xf>
    <xf numFmtId="0" fontId="15" fillId="9" borderId="18" xfId="2" applyFont="1" applyFill="1" applyBorder="1" applyAlignment="1">
      <alignment horizontal="right" vertical="center" wrapText="1"/>
    </xf>
    <xf numFmtId="0" fontId="0" fillId="0" borderId="2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16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7" fillId="10" borderId="1" xfId="2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0" fontId="16" fillId="15" borderId="1" xfId="0" applyFont="1" applyFill="1" applyBorder="1" applyAlignment="1">
      <alignment horizontal="center" vertical="center" wrapText="1"/>
    </xf>
    <xf numFmtId="0" fontId="16" fillId="11" borderId="1" xfId="0" applyFont="1" applyFill="1" applyBorder="1" applyAlignment="1">
      <alignment horizontal="center" vertical="center" wrapText="1"/>
    </xf>
    <xf numFmtId="166" fontId="30" fillId="0" borderId="1" xfId="7" applyNumberFormat="1" applyFon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7" fontId="0" fillId="0" borderId="1" xfId="0" applyNumberFormat="1" applyBorder="1"/>
    <xf numFmtId="167" fontId="0" fillId="0" borderId="25" xfId="0" applyNumberFormat="1" applyBorder="1" applyAlignment="1">
      <alignment vertical="center"/>
    </xf>
    <xf numFmtId="167" fontId="0" fillId="0" borderId="20" xfId="0" applyNumberFormat="1" applyBorder="1" applyAlignment="1">
      <alignment vertical="center"/>
    </xf>
    <xf numFmtId="167" fontId="0" fillId="0" borderId="26" xfId="0" applyNumberFormat="1" applyBorder="1" applyAlignment="1">
      <alignment vertical="center"/>
    </xf>
    <xf numFmtId="167" fontId="0" fillId="0" borderId="6" xfId="0" applyNumberFormat="1" applyBorder="1" applyAlignment="1">
      <alignment vertical="center"/>
    </xf>
    <xf numFmtId="167" fontId="0" fillId="0" borderId="8" xfId="0" applyNumberFormat="1" applyBorder="1" applyAlignment="1">
      <alignment vertical="center"/>
    </xf>
    <xf numFmtId="167" fontId="0" fillId="0" borderId="9" xfId="0" applyNumberFormat="1" applyBorder="1" applyAlignment="1">
      <alignment vertical="center"/>
    </xf>
    <xf numFmtId="167" fontId="0" fillId="0" borderId="6" xfId="0" applyNumberFormat="1" applyBorder="1"/>
    <xf numFmtId="167" fontId="0" fillId="0" borderId="25" xfId="0" applyNumberFormat="1" applyBorder="1"/>
    <xf numFmtId="167" fontId="0" fillId="0" borderId="8" xfId="0" applyNumberFormat="1" applyBorder="1"/>
    <xf numFmtId="167" fontId="0" fillId="0" borderId="20" xfId="0" applyNumberFormat="1" applyBorder="1"/>
    <xf numFmtId="167" fontId="0" fillId="0" borderId="9" xfId="0" applyNumberFormat="1" applyBorder="1"/>
    <xf numFmtId="167" fontId="0" fillId="0" borderId="26" xfId="0" applyNumberFormat="1" applyBorder="1"/>
    <xf numFmtId="0" fontId="9" fillId="0" borderId="32" xfId="0" applyFont="1" applyBorder="1"/>
    <xf numFmtId="0" fontId="9" fillId="0" borderId="33" xfId="0" applyFont="1" applyBorder="1"/>
    <xf numFmtId="0" fontId="9" fillId="0" borderId="34" xfId="0" applyFont="1" applyBorder="1"/>
    <xf numFmtId="0" fontId="0" fillId="16" borderId="30" xfId="0" applyFill="1" applyBorder="1"/>
    <xf numFmtId="0" fontId="0" fillId="16" borderId="0" xfId="0" applyFill="1" applyBorder="1"/>
    <xf numFmtId="0" fontId="0" fillId="16" borderId="31" xfId="0" applyFill="1" applyBorder="1"/>
  </cellXfs>
  <cellStyles count="10">
    <cellStyle name="60% - Έμφαση1" xfId="1" builtinId="32"/>
    <cellStyle name="60% - Έμφαση4" xfId="4" builtinId="44"/>
    <cellStyle name="Comma 2" xfId="5" xr:uid="{00000000-0005-0000-0000-000002000000}"/>
    <cellStyle name="Hyperlink 2" xfId="3" xr:uid="{00000000-0005-0000-0000-000003000000}"/>
    <cellStyle name="Neutral 2" xfId="6" xr:uid="{00000000-0005-0000-0000-000004000000}"/>
    <cellStyle name="Normal 2" xfId="2" xr:uid="{00000000-0005-0000-0000-000005000000}"/>
    <cellStyle name="Κανονικό" xfId="0" builtinId="0"/>
    <cellStyle name="Κανονικό 2" xfId="9" xr:uid="{00000000-0005-0000-0000-000007000000}"/>
    <cellStyle name="Κανονικό 3" xfId="8" xr:uid="{00000000-0005-0000-0000-000008000000}"/>
    <cellStyle name="Ποσοστό" xfId="7" builtinId="5"/>
  </cellStyles>
  <dxfs count="0"/>
  <tableStyles count="0" defaultTableStyle="TableStyleMedium2" defaultPivotStyle="PivotStyleLight16"/>
  <colors>
    <mruColors>
      <color rgb="FFFFCCCC"/>
      <color rgb="FFFF6600"/>
      <color rgb="FFFF00FF"/>
      <color rgb="FFFF0000"/>
      <color rgb="FFFFCC00"/>
      <color rgb="FF77777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05"/>
  <sheetViews>
    <sheetView topLeftCell="B1" zoomScaleNormal="100" workbookViewId="0">
      <pane ySplit="5" topLeftCell="A40" activePane="bottomLeft" state="frozen"/>
      <selection pane="bottomLeft" activeCell="N24" sqref="N24:N27"/>
    </sheetView>
  </sheetViews>
  <sheetFormatPr defaultColWidth="8.85546875" defaultRowHeight="15" x14ac:dyDescent="0.25"/>
  <cols>
    <col min="1" max="1" width="28.42578125" style="2" customWidth="1"/>
    <col min="2" max="3" width="11.85546875" style="2" customWidth="1"/>
    <col min="4" max="4" width="23" style="2" customWidth="1"/>
    <col min="5" max="6" width="16.7109375" style="2" customWidth="1"/>
    <col min="7" max="12" width="15.7109375" style="1" customWidth="1"/>
    <col min="13" max="13" width="14.85546875" customWidth="1"/>
    <col min="14" max="14" width="15.140625" customWidth="1"/>
    <col min="15" max="15" width="15" customWidth="1"/>
    <col min="16" max="16" width="11.85546875" style="116" customWidth="1"/>
    <col min="17" max="17" width="13.140625" style="116" customWidth="1"/>
    <col min="19" max="19" width="23" bestFit="1" customWidth="1"/>
  </cols>
  <sheetData>
    <row r="1" spans="1:17" ht="23.25" x14ac:dyDescent="0.35">
      <c r="A1" s="18" t="s">
        <v>78</v>
      </c>
      <c r="B1" s="19"/>
      <c r="C1" s="19"/>
      <c r="D1" s="19"/>
      <c r="E1" s="19"/>
      <c r="F1" s="19"/>
      <c r="G1" s="12"/>
      <c r="H1" s="12"/>
      <c r="I1" s="12"/>
      <c r="J1" s="12"/>
      <c r="K1" s="12"/>
      <c r="L1" s="12"/>
      <c r="N1" s="49"/>
      <c r="P1" s="144"/>
      <c r="Q1" s="144"/>
    </row>
    <row r="2" spans="1:17" ht="24" thickBot="1" x14ac:dyDescent="0.4">
      <c r="A2" s="45"/>
    </row>
    <row r="3" spans="1:17" ht="30" customHeight="1" thickBot="1" x14ac:dyDescent="0.3">
      <c r="E3" s="186" t="s">
        <v>0</v>
      </c>
      <c r="F3" s="187"/>
      <c r="G3" s="199" t="s">
        <v>74</v>
      </c>
      <c r="H3" s="200"/>
      <c r="I3" s="200"/>
      <c r="J3" s="191" t="s">
        <v>76</v>
      </c>
      <c r="K3" s="192"/>
      <c r="L3" s="193"/>
      <c r="M3" s="196" t="s">
        <v>77</v>
      </c>
      <c r="N3" s="197"/>
      <c r="O3" s="198"/>
      <c r="P3" s="194" t="s">
        <v>52</v>
      </c>
      <c r="Q3" s="195"/>
    </row>
    <row r="4" spans="1:17" ht="63.75" x14ac:dyDescent="0.25">
      <c r="A4" s="13" t="s">
        <v>1</v>
      </c>
      <c r="B4" s="13" t="s">
        <v>47</v>
      </c>
      <c r="C4" s="13" t="s">
        <v>2</v>
      </c>
      <c r="D4" s="13" t="s">
        <v>3</v>
      </c>
      <c r="E4" s="13" t="s">
        <v>4</v>
      </c>
      <c r="F4" s="14" t="s">
        <v>5</v>
      </c>
      <c r="G4" s="26" t="s">
        <v>4</v>
      </c>
      <c r="H4" s="27" t="s">
        <v>6</v>
      </c>
      <c r="I4" s="47" t="s">
        <v>7</v>
      </c>
      <c r="J4" s="102" t="s">
        <v>4</v>
      </c>
      <c r="K4" s="103" t="s">
        <v>6</v>
      </c>
      <c r="L4" s="109" t="s">
        <v>7</v>
      </c>
      <c r="M4" s="102" t="s">
        <v>4</v>
      </c>
      <c r="N4" s="103" t="s">
        <v>6</v>
      </c>
      <c r="O4" s="109" t="s">
        <v>7</v>
      </c>
      <c r="P4" s="104" t="s">
        <v>6</v>
      </c>
      <c r="Q4" s="97" t="s">
        <v>4</v>
      </c>
    </row>
    <row r="5" spans="1:17" ht="15.75" thickBot="1" x14ac:dyDescent="0.3">
      <c r="A5" s="15" t="s">
        <v>8</v>
      </c>
      <c r="B5" s="15"/>
      <c r="C5" s="15" t="s">
        <v>9</v>
      </c>
      <c r="D5" s="15" t="s">
        <v>10</v>
      </c>
      <c r="E5" s="15" t="s">
        <v>11</v>
      </c>
      <c r="F5" s="16" t="s">
        <v>12</v>
      </c>
      <c r="G5" s="28" t="s">
        <v>13</v>
      </c>
      <c r="H5" s="29" t="s">
        <v>14</v>
      </c>
      <c r="I5" s="30" t="s">
        <v>15</v>
      </c>
      <c r="J5" s="28" t="s">
        <v>16</v>
      </c>
      <c r="K5" s="29" t="s">
        <v>53</v>
      </c>
      <c r="L5" s="110" t="s">
        <v>54</v>
      </c>
      <c r="M5" s="28" t="s">
        <v>16</v>
      </c>
      <c r="N5" s="29" t="s">
        <v>53</v>
      </c>
      <c r="O5" s="110" t="s">
        <v>54</v>
      </c>
      <c r="P5" s="28" t="s">
        <v>55</v>
      </c>
      <c r="Q5" s="110" t="s">
        <v>56</v>
      </c>
    </row>
    <row r="6" spans="1:17" ht="30.75" customHeight="1" x14ac:dyDescent="0.25">
      <c r="A6" s="3" t="s">
        <v>17</v>
      </c>
      <c r="B6" s="4"/>
      <c r="C6" s="4" t="s">
        <v>18</v>
      </c>
      <c r="D6" s="4" t="s">
        <v>19</v>
      </c>
      <c r="E6" s="31">
        <v>288764506</v>
      </c>
      <c r="F6" s="32">
        <v>245449830</v>
      </c>
      <c r="G6" s="79">
        <f>ROUND(H6/0.85,0)</f>
        <v>160000000</v>
      </c>
      <c r="H6" s="80">
        <f>161500000-30000000*0.85</f>
        <v>136000000</v>
      </c>
      <c r="I6" s="81">
        <f>H6-F6</f>
        <v>-109449830</v>
      </c>
      <c r="J6" s="91">
        <v>140000000</v>
      </c>
      <c r="K6" s="92">
        <v>119000000</v>
      </c>
      <c r="L6" s="111">
        <f>K6-F6</f>
        <v>-126449830</v>
      </c>
      <c r="M6" s="166">
        <f>ROUND(N6/0.85,0)</f>
        <v>125000000</v>
      </c>
      <c r="N6" s="167">
        <v>106250000</v>
      </c>
      <c r="O6" s="111">
        <f>N6-F6</f>
        <v>-139199830</v>
      </c>
      <c r="P6" s="117">
        <f>(N6-F6)/F6</f>
        <v>-0.56712131354908657</v>
      </c>
      <c r="Q6" s="118">
        <f>M6/E6</f>
        <v>0.43287868627455206</v>
      </c>
    </row>
    <row r="7" spans="1:17" ht="22.5" x14ac:dyDescent="0.25">
      <c r="A7" s="188" t="s">
        <v>20</v>
      </c>
      <c r="B7" s="8"/>
      <c r="C7" s="4" t="s">
        <v>21</v>
      </c>
      <c r="D7" s="4" t="s">
        <v>22</v>
      </c>
      <c r="E7" s="31">
        <v>0</v>
      </c>
      <c r="F7" s="32">
        <v>0</v>
      </c>
      <c r="G7" s="35"/>
      <c r="H7" s="31"/>
      <c r="I7" s="82"/>
      <c r="J7" s="93"/>
      <c r="K7" s="72"/>
      <c r="L7" s="112"/>
      <c r="M7" s="93"/>
      <c r="N7" s="72"/>
      <c r="O7" s="112"/>
      <c r="P7" s="119"/>
      <c r="Q7" s="118"/>
    </row>
    <row r="8" spans="1:17" ht="20.25" customHeight="1" x14ac:dyDescent="0.25">
      <c r="A8" s="189"/>
      <c r="B8" s="65"/>
      <c r="C8" s="60" t="s">
        <v>21</v>
      </c>
      <c r="D8" s="57" t="s">
        <v>23</v>
      </c>
      <c r="E8" s="54"/>
      <c r="F8" s="55"/>
      <c r="G8" s="56"/>
      <c r="H8" s="54"/>
      <c r="I8" s="83"/>
      <c r="J8" s="73"/>
      <c r="K8" s="74"/>
      <c r="L8" s="113"/>
      <c r="M8" s="73"/>
      <c r="N8" s="74"/>
      <c r="O8" s="113"/>
      <c r="P8" s="119"/>
      <c r="Q8" s="118"/>
    </row>
    <row r="9" spans="1:17" ht="22.5" x14ac:dyDescent="0.25">
      <c r="A9" s="190"/>
      <c r="B9" s="64"/>
      <c r="C9" s="5" t="s">
        <v>21</v>
      </c>
      <c r="D9" s="4" t="s">
        <v>24</v>
      </c>
      <c r="E9" s="31">
        <v>29000000</v>
      </c>
      <c r="F9" s="32">
        <v>23200000</v>
      </c>
      <c r="G9" s="33">
        <f>ROUND(H9/0.8,0)</f>
        <v>0</v>
      </c>
      <c r="H9" s="34">
        <v>0</v>
      </c>
      <c r="I9" s="84">
        <f>H9-F9</f>
        <v>-23200000</v>
      </c>
      <c r="J9" s="94">
        <v>0</v>
      </c>
      <c r="K9" s="71">
        <v>0</v>
      </c>
      <c r="L9" s="107">
        <f>I9</f>
        <v>-23200000</v>
      </c>
      <c r="M9" s="94">
        <v>0</v>
      </c>
      <c r="N9" s="71">
        <v>0</v>
      </c>
      <c r="O9" s="107">
        <f>I9</f>
        <v>-23200000</v>
      </c>
      <c r="P9" s="117">
        <f>(N9-F9)/F9</f>
        <v>-1</v>
      </c>
      <c r="Q9" s="118">
        <f>M9/E9</f>
        <v>0</v>
      </c>
    </row>
    <row r="10" spans="1:17" ht="22.5" x14ac:dyDescent="0.25">
      <c r="A10" s="3" t="s">
        <v>25</v>
      </c>
      <c r="B10" s="4"/>
      <c r="C10" s="4" t="s">
        <v>18</v>
      </c>
      <c r="D10" s="4" t="s">
        <v>19</v>
      </c>
      <c r="E10" s="31">
        <v>558055749</v>
      </c>
      <c r="F10" s="32">
        <v>474347386</v>
      </c>
      <c r="G10" s="33">
        <f>ROUND(H10/0.85,0)</f>
        <v>665000000</v>
      </c>
      <c r="H10" s="48">
        <v>565250000</v>
      </c>
      <c r="I10" s="84">
        <f>H10-F10</f>
        <v>90902614</v>
      </c>
      <c r="J10" s="94">
        <f>ROUND(K10/0.85,0)</f>
        <v>612049665</v>
      </c>
      <c r="K10" s="71">
        <v>520242215</v>
      </c>
      <c r="L10" s="107">
        <f>K10-F10</f>
        <v>45894829</v>
      </c>
      <c r="M10" s="168">
        <f>ROUND(N10/0.85,0)</f>
        <v>577112106</v>
      </c>
      <c r="N10" s="169">
        <v>490545290</v>
      </c>
      <c r="O10" s="107">
        <f>N10-F10</f>
        <v>16197904</v>
      </c>
      <c r="P10" s="117">
        <f>(N10-F10)/F10</f>
        <v>3.4147766970091406E-2</v>
      </c>
      <c r="Q10" s="118">
        <f>M10/E10</f>
        <v>1.0341477657638107</v>
      </c>
    </row>
    <row r="11" spans="1:17" ht="22.5" x14ac:dyDescent="0.25">
      <c r="A11" s="188" t="s">
        <v>26</v>
      </c>
      <c r="B11" s="8"/>
      <c r="C11" s="57" t="s">
        <v>21</v>
      </c>
      <c r="D11" s="57" t="s">
        <v>22</v>
      </c>
      <c r="E11" s="54"/>
      <c r="F11" s="55"/>
      <c r="G11" s="58"/>
      <c r="H11" s="59"/>
      <c r="I11" s="83"/>
      <c r="J11" s="73"/>
      <c r="K11" s="74"/>
      <c r="L11" s="113"/>
      <c r="M11" s="73"/>
      <c r="N11" s="74"/>
      <c r="O11" s="113"/>
      <c r="P11" s="119"/>
      <c r="Q11" s="118"/>
    </row>
    <row r="12" spans="1:17" x14ac:dyDescent="0.25">
      <c r="A12" s="189"/>
      <c r="B12" s="65"/>
      <c r="C12" s="5" t="s">
        <v>21</v>
      </c>
      <c r="D12" s="4" t="s">
        <v>23</v>
      </c>
      <c r="E12" s="31">
        <v>73192122</v>
      </c>
      <c r="F12" s="32">
        <v>58553697</v>
      </c>
      <c r="G12" s="33">
        <f>ROUND(H12/0.8,0)</f>
        <v>60000000</v>
      </c>
      <c r="H12" s="48">
        <v>48000000</v>
      </c>
      <c r="I12" s="84">
        <f>H12-F12</f>
        <v>-10553697</v>
      </c>
      <c r="J12" s="94">
        <v>55000000</v>
      </c>
      <c r="K12" s="71">
        <v>44000000</v>
      </c>
      <c r="L12" s="107">
        <f>K12-F12</f>
        <v>-14553697</v>
      </c>
      <c r="M12" s="168">
        <f>N12/0.8</f>
        <v>65625000</v>
      </c>
      <c r="N12" s="169">
        <f>44000000+8500000</f>
        <v>52500000</v>
      </c>
      <c r="O12" s="107">
        <f>N12-F12</f>
        <v>-6053697</v>
      </c>
      <c r="P12" s="117">
        <f>(N12-F12)/F12</f>
        <v>-0.10338710124486247</v>
      </c>
      <c r="Q12" s="118">
        <f>M12/E12</f>
        <v>0.89661288956754115</v>
      </c>
    </row>
    <row r="13" spans="1:17" ht="22.5" x14ac:dyDescent="0.25">
      <c r="A13" s="190"/>
      <c r="B13" s="64"/>
      <c r="C13" s="60" t="s">
        <v>21</v>
      </c>
      <c r="D13" s="57" t="s">
        <v>24</v>
      </c>
      <c r="E13" s="54"/>
      <c r="F13" s="55"/>
      <c r="G13" s="56"/>
      <c r="H13" s="59"/>
      <c r="I13" s="83"/>
      <c r="J13" s="73"/>
      <c r="K13" s="74"/>
      <c r="L13" s="113"/>
      <c r="M13" s="73"/>
      <c r="N13" s="74"/>
      <c r="O13" s="113"/>
      <c r="P13" s="119"/>
      <c r="Q13" s="118"/>
    </row>
    <row r="14" spans="1:17" ht="22.5" x14ac:dyDescent="0.25">
      <c r="A14" s="188" t="s">
        <v>27</v>
      </c>
      <c r="B14" s="8"/>
      <c r="C14" s="4" t="s">
        <v>21</v>
      </c>
      <c r="D14" s="4" t="s">
        <v>22</v>
      </c>
      <c r="E14" s="31">
        <v>0</v>
      </c>
      <c r="F14" s="32">
        <v>0</v>
      </c>
      <c r="G14" s="35">
        <f>ROUND(H14/0.8,0)</f>
        <v>0</v>
      </c>
      <c r="H14" s="130">
        <v>0</v>
      </c>
      <c r="I14" s="82">
        <f>H14-F14</f>
        <v>0</v>
      </c>
      <c r="J14" s="94"/>
      <c r="K14" s="71"/>
      <c r="L14" s="107"/>
      <c r="M14" s="94"/>
      <c r="N14" s="71"/>
      <c r="O14" s="107"/>
      <c r="P14" s="128"/>
      <c r="Q14" s="129"/>
    </row>
    <row r="15" spans="1:17" x14ac:dyDescent="0.25">
      <c r="A15" s="189"/>
      <c r="B15" s="65"/>
      <c r="C15" s="5" t="s">
        <v>21</v>
      </c>
      <c r="D15" s="4" t="s">
        <v>23</v>
      </c>
      <c r="E15" s="31">
        <v>50219962</v>
      </c>
      <c r="F15" s="32">
        <v>40175969</v>
      </c>
      <c r="G15" s="33">
        <f>ROUND(H15/0.8,0)</f>
        <v>59000000</v>
      </c>
      <c r="H15" s="48">
        <v>47200000</v>
      </c>
      <c r="I15" s="84">
        <f>H15-F15</f>
        <v>7024031</v>
      </c>
      <c r="J15" s="94">
        <f>K15/0.8</f>
        <v>53125000</v>
      </c>
      <c r="K15" s="71">
        <f>41500000+500000+500000</f>
        <v>42500000</v>
      </c>
      <c r="L15" s="107">
        <f>K15-F15</f>
        <v>2324031</v>
      </c>
      <c r="M15" s="94">
        <f>N15/0.8</f>
        <v>53125000</v>
      </c>
      <c r="N15" s="71">
        <f>41500000+500000+500000</f>
        <v>42500000</v>
      </c>
      <c r="O15" s="107">
        <f>N15-F15</f>
        <v>2324031</v>
      </c>
      <c r="P15" s="117">
        <f>(N15-F15)/F15</f>
        <v>5.7846296127916669E-2</v>
      </c>
      <c r="Q15" s="118">
        <f>M15/E15</f>
        <v>1.0578462803297222</v>
      </c>
    </row>
    <row r="16" spans="1:17" ht="22.5" x14ac:dyDescent="0.25">
      <c r="A16" s="190"/>
      <c r="B16" s="64"/>
      <c r="C16" s="60" t="s">
        <v>21</v>
      </c>
      <c r="D16" s="57" t="s">
        <v>24</v>
      </c>
      <c r="E16" s="54"/>
      <c r="F16" s="55"/>
      <c r="G16" s="56"/>
      <c r="H16" s="54"/>
      <c r="I16" s="61"/>
      <c r="J16" s="73"/>
      <c r="K16" s="74"/>
      <c r="L16" s="113"/>
      <c r="M16" s="73"/>
      <c r="N16" s="74"/>
      <c r="O16" s="113"/>
      <c r="P16" s="119"/>
      <c r="Q16" s="118"/>
    </row>
    <row r="17" spans="1:19" ht="33.75" x14ac:dyDescent="0.25">
      <c r="A17" s="3" t="s">
        <v>28</v>
      </c>
      <c r="B17" s="4"/>
      <c r="C17" s="4" t="s">
        <v>18</v>
      </c>
      <c r="D17" s="4" t="s">
        <v>19</v>
      </c>
      <c r="E17" s="31">
        <v>154556495</v>
      </c>
      <c r="F17" s="32">
        <v>131373020</v>
      </c>
      <c r="G17" s="33">
        <f>ROUND(H17/0.85,0)</f>
        <v>70000000</v>
      </c>
      <c r="H17" s="48">
        <v>59500000</v>
      </c>
      <c r="I17" s="84">
        <f>H17-F17</f>
        <v>-71873020</v>
      </c>
      <c r="J17" s="94">
        <f>ROUND(K17/0.85,0)+1</f>
        <v>87740403</v>
      </c>
      <c r="K17" s="71">
        <v>74579342</v>
      </c>
      <c r="L17" s="107">
        <f>K17-F17</f>
        <v>-56793678</v>
      </c>
      <c r="M17" s="168">
        <f>ROUND(N17/0.85,0)+1</f>
        <v>61483470</v>
      </c>
      <c r="N17" s="169">
        <v>52260949</v>
      </c>
      <c r="O17" s="107">
        <f>N17-F17</f>
        <v>-79112071</v>
      </c>
      <c r="P17" s="117">
        <f>(N17-F17)/F17</f>
        <v>-0.60219420243212796</v>
      </c>
      <c r="Q17" s="118">
        <f>M17/E17</f>
        <v>0.39780579910278113</v>
      </c>
    </row>
    <row r="18" spans="1:19" ht="33.75" x14ac:dyDescent="0.25">
      <c r="A18" s="3" t="s">
        <v>29</v>
      </c>
      <c r="B18" s="4"/>
      <c r="C18" s="4" t="s">
        <v>18</v>
      </c>
      <c r="D18" s="4" t="s">
        <v>19</v>
      </c>
      <c r="E18" s="31">
        <v>200745583</v>
      </c>
      <c r="F18" s="32">
        <v>170633745</v>
      </c>
      <c r="G18" s="33">
        <f>ROUND(H18/0.85,0)</f>
        <v>56000000</v>
      </c>
      <c r="H18" s="48">
        <f>56100000-10000000*0.85</f>
        <v>47600000</v>
      </c>
      <c r="I18" s="84">
        <f>H18-F18</f>
        <v>-123033745</v>
      </c>
      <c r="J18" s="94">
        <f t="shared" ref="J18" si="0">ROUND(K18/0.85,0)</f>
        <v>57706778</v>
      </c>
      <c r="K18" s="71">
        <v>49050761</v>
      </c>
      <c r="L18" s="107">
        <f>K18-F18</f>
        <v>-121582984</v>
      </c>
      <c r="M18" s="168">
        <f>ROUND(N18/0.85,0)</f>
        <v>55000000</v>
      </c>
      <c r="N18" s="169">
        <v>46750000</v>
      </c>
      <c r="O18" s="107">
        <f>N18-F18</f>
        <v>-123883745</v>
      </c>
      <c r="P18" s="117">
        <f>(N18-F18)/F18</f>
        <v>-0.72602136816489615</v>
      </c>
      <c r="Q18" s="118">
        <f>M18/E18</f>
        <v>0.2739786309519946</v>
      </c>
    </row>
    <row r="19" spans="1:19" ht="22.5" x14ac:dyDescent="0.25">
      <c r="A19" s="188" t="s">
        <v>30</v>
      </c>
      <c r="B19" s="8"/>
      <c r="C19" s="4" t="s">
        <v>21</v>
      </c>
      <c r="D19" s="4" t="s">
        <v>22</v>
      </c>
      <c r="E19" s="31">
        <v>755927107</v>
      </c>
      <c r="F19" s="32">
        <v>604741685</v>
      </c>
      <c r="G19" s="33">
        <f>ROUND(H19/0.8,0)</f>
        <v>748000000</v>
      </c>
      <c r="H19" s="48">
        <f>592000000+6400000</f>
        <v>598400000</v>
      </c>
      <c r="I19" s="84">
        <f>H19-F19</f>
        <v>-6341685</v>
      </c>
      <c r="J19" s="94">
        <f>ROUND(K19/0.8,0)+1</f>
        <v>746197165</v>
      </c>
      <c r="K19" s="71">
        <f>591655313+1600000+1200000+2502418</f>
        <v>596957731</v>
      </c>
      <c r="L19" s="107">
        <f>K19-F19</f>
        <v>-7783954</v>
      </c>
      <c r="M19" s="94">
        <f>ROUND(N19/0.8,0)+1</f>
        <v>746197165</v>
      </c>
      <c r="N19" s="71">
        <f>591655313+1600000+1200000+2502418</f>
        <v>596957731</v>
      </c>
      <c r="O19" s="107">
        <f>N19-F19</f>
        <v>-7783954</v>
      </c>
      <c r="P19" s="117">
        <f>(N19-F19)/F19</f>
        <v>-1.2871535389527514E-2</v>
      </c>
      <c r="Q19" s="118">
        <f>M19/E19</f>
        <v>0.98712846528468257</v>
      </c>
    </row>
    <row r="20" spans="1:19" x14ac:dyDescent="0.25">
      <c r="A20" s="189"/>
      <c r="B20" s="65"/>
      <c r="C20" s="60" t="s">
        <v>21</v>
      </c>
      <c r="D20" s="57" t="s">
        <v>23</v>
      </c>
      <c r="E20" s="54"/>
      <c r="F20" s="55"/>
      <c r="G20" s="56"/>
      <c r="H20" s="59"/>
      <c r="I20" s="83"/>
      <c r="J20" s="73"/>
      <c r="K20" s="74"/>
      <c r="L20" s="113"/>
      <c r="M20" s="73"/>
      <c r="N20" s="74"/>
      <c r="O20" s="113"/>
      <c r="P20" s="119"/>
      <c r="Q20" s="118"/>
    </row>
    <row r="21" spans="1:19" ht="22.5" x14ac:dyDescent="0.25">
      <c r="A21" s="190"/>
      <c r="B21" s="64"/>
      <c r="C21" s="60" t="s">
        <v>21</v>
      </c>
      <c r="D21" s="57" t="s">
        <v>24</v>
      </c>
      <c r="E21" s="54"/>
      <c r="F21" s="55"/>
      <c r="G21" s="56"/>
      <c r="H21" s="59"/>
      <c r="I21" s="83"/>
      <c r="J21" s="73"/>
      <c r="K21" s="74"/>
      <c r="L21" s="113"/>
      <c r="M21" s="73"/>
      <c r="N21" s="74"/>
      <c r="O21" s="113"/>
      <c r="P21" s="119"/>
      <c r="Q21" s="118"/>
    </row>
    <row r="22" spans="1:19" ht="22.5" x14ac:dyDescent="0.25">
      <c r="A22" s="3" t="s">
        <v>31</v>
      </c>
      <c r="B22" s="4"/>
      <c r="C22" s="4" t="s">
        <v>18</v>
      </c>
      <c r="D22" s="4" t="s">
        <v>19</v>
      </c>
      <c r="E22" s="31">
        <v>300711106</v>
      </c>
      <c r="F22" s="32">
        <v>255604440</v>
      </c>
      <c r="G22" s="33">
        <f>ROUND(H22/0.85,0)</f>
        <v>265000000</v>
      </c>
      <c r="H22" s="48">
        <v>225250000</v>
      </c>
      <c r="I22" s="84">
        <f>H22-F22</f>
        <v>-30354440</v>
      </c>
      <c r="J22" s="94">
        <f>ROUND(K22/0.85,0)+1</f>
        <v>247317163</v>
      </c>
      <c r="K22" s="71">
        <v>210219588</v>
      </c>
      <c r="L22" s="107">
        <f>K22-F22</f>
        <v>-45384852</v>
      </c>
      <c r="M22" s="168">
        <f>ROUND(N22/0.85,0)+1</f>
        <v>242147163</v>
      </c>
      <c r="N22" s="169">
        <v>205825088</v>
      </c>
      <c r="O22" s="107">
        <f>N22-F22</f>
        <v>-49779352</v>
      </c>
      <c r="P22" s="117">
        <f>(N22-F22)/F22</f>
        <v>-0.19475151527101797</v>
      </c>
      <c r="Q22" s="118">
        <f>M22/E22</f>
        <v>0.80524848656570736</v>
      </c>
    </row>
    <row r="23" spans="1:19" ht="18" customHeight="1" x14ac:dyDescent="0.25">
      <c r="A23" s="201" t="s">
        <v>32</v>
      </c>
      <c r="B23" s="202"/>
      <c r="C23" s="202"/>
      <c r="D23" s="203"/>
      <c r="E23" s="23">
        <f t="shared" ref="E23:F23" si="1">SUM(E6:E22)</f>
        <v>2411172630</v>
      </c>
      <c r="F23" s="24">
        <f t="shared" si="1"/>
        <v>2004079772</v>
      </c>
      <c r="G23" s="25">
        <f>SUM(G6:G22)</f>
        <v>2083000000</v>
      </c>
      <c r="H23" s="25">
        <f t="shared" ref="H23" si="2">SUM(H6:H22)</f>
        <v>1727200000</v>
      </c>
      <c r="I23" s="85">
        <f>SUM(I6:I22)</f>
        <v>-276879772</v>
      </c>
      <c r="J23" s="95">
        <f>SUM(J6:J22)</f>
        <v>1999136174</v>
      </c>
      <c r="K23" s="75">
        <f t="shared" ref="K23" si="3">SUM(K6:K22)</f>
        <v>1656549637</v>
      </c>
      <c r="L23" s="108">
        <f>SUM(L6:L22)</f>
        <v>-347530135</v>
      </c>
      <c r="M23" s="95">
        <f>SUM(M6:M22)</f>
        <v>1925689904</v>
      </c>
      <c r="N23" s="75">
        <f t="shared" ref="N23" si="4">SUM(N6:N22)</f>
        <v>1593589058</v>
      </c>
      <c r="O23" s="108">
        <f>SUM(O6:O22)</f>
        <v>-410490714</v>
      </c>
      <c r="P23" s="122"/>
      <c r="Q23" s="123"/>
    </row>
    <row r="24" spans="1:19" ht="22.5" x14ac:dyDescent="0.25">
      <c r="A24" s="188" t="s">
        <v>33</v>
      </c>
      <c r="B24" s="8"/>
      <c r="C24" s="4" t="s">
        <v>21</v>
      </c>
      <c r="D24" s="4" t="s">
        <v>22</v>
      </c>
      <c r="E24" s="31">
        <v>39327647</v>
      </c>
      <c r="F24" s="32">
        <v>31462117</v>
      </c>
      <c r="G24" s="33">
        <f>ROUND(H24/0.8,0)</f>
        <v>68513158</v>
      </c>
      <c r="H24" s="48">
        <f>63945328-23432170+17871710*0.8</f>
        <v>54810526</v>
      </c>
      <c r="I24" s="84">
        <f t="shared" ref="I24:I31" si="5">H24-F24</f>
        <v>23348409</v>
      </c>
      <c r="J24" s="94">
        <f>ROUND(K24/0.8,0)+1</f>
        <v>72212697</v>
      </c>
      <c r="K24" s="71">
        <v>57770157</v>
      </c>
      <c r="L24" s="107">
        <f>K24-F24</f>
        <v>26308040</v>
      </c>
      <c r="M24" s="168">
        <f>ROUND(N24/0.8,0)+1</f>
        <v>61587697</v>
      </c>
      <c r="N24" s="169">
        <f>57770157-8500000</f>
        <v>49270157</v>
      </c>
      <c r="O24" s="107">
        <f>N24-F24</f>
        <v>17808040</v>
      </c>
      <c r="P24" s="117">
        <f>(N24-F24)/F24</f>
        <v>0.56601531295557761</v>
      </c>
      <c r="Q24" s="118">
        <f>M24/E24</f>
        <v>1.5660153021613523</v>
      </c>
    </row>
    <row r="25" spans="1:19" x14ac:dyDescent="0.25">
      <c r="A25" s="189"/>
      <c r="B25" s="65"/>
      <c r="C25" s="5" t="s">
        <v>21</v>
      </c>
      <c r="D25" s="4" t="s">
        <v>23</v>
      </c>
      <c r="E25" s="31">
        <v>56216012</v>
      </c>
      <c r="F25" s="32">
        <v>44972809</v>
      </c>
      <c r="G25" s="33">
        <f>ROUND(H25/0.8,0)</f>
        <v>130996685</v>
      </c>
      <c r="H25" s="48">
        <f>96467645+3529666+37+6000000*0.8</f>
        <v>104797348</v>
      </c>
      <c r="I25" s="84">
        <f t="shared" si="5"/>
        <v>59824539</v>
      </c>
      <c r="J25" s="94">
        <f t="shared" ref="J25:J26" si="6">ROUND(K25/0.8,0)</f>
        <v>141795693</v>
      </c>
      <c r="K25" s="71">
        <f>114795696-1359142</f>
        <v>113436554</v>
      </c>
      <c r="L25" s="107">
        <f t="shared" ref="L25:L44" si="7">K25-F25</f>
        <v>68463745</v>
      </c>
      <c r="M25" s="168">
        <f t="shared" ref="M25:M26" si="8">ROUND(N25/0.8,0)</f>
        <v>104920693</v>
      </c>
      <c r="N25" s="169">
        <f>114795696-1359142-8500000-21000000</f>
        <v>83936554</v>
      </c>
      <c r="O25" s="107">
        <f t="shared" ref="O25:O44" si="9">N25-F25</f>
        <v>38963745</v>
      </c>
      <c r="P25" s="117">
        <f>(N25-F25)/F25</f>
        <v>0.86638450802572731</v>
      </c>
      <c r="Q25" s="118">
        <f>M25/E25</f>
        <v>1.866384492019818</v>
      </c>
    </row>
    <row r="26" spans="1:19" ht="22.5" x14ac:dyDescent="0.25">
      <c r="A26" s="190"/>
      <c r="B26" s="64"/>
      <c r="C26" s="5" t="s">
        <v>21</v>
      </c>
      <c r="D26" s="4" t="s">
        <v>24</v>
      </c>
      <c r="E26" s="31">
        <v>34381070</v>
      </c>
      <c r="F26" s="32">
        <v>27504856</v>
      </c>
      <c r="G26" s="33">
        <f>ROUND(H26/0.8,0)</f>
        <v>157489493</v>
      </c>
      <c r="H26" s="48">
        <v>125991594</v>
      </c>
      <c r="I26" s="84">
        <f t="shared" si="5"/>
        <v>98486738</v>
      </c>
      <c r="J26" s="94">
        <f t="shared" si="6"/>
        <v>161637034</v>
      </c>
      <c r="K26" s="71">
        <f>130879660+400000-1970033</f>
        <v>129309627</v>
      </c>
      <c r="L26" s="107">
        <f t="shared" si="7"/>
        <v>101804771</v>
      </c>
      <c r="M26" s="94">
        <f t="shared" si="8"/>
        <v>161637034</v>
      </c>
      <c r="N26" s="71">
        <f>130879660+400000-1970033</f>
        <v>129309627</v>
      </c>
      <c r="O26" s="107">
        <f t="shared" si="9"/>
        <v>101804771</v>
      </c>
      <c r="P26" s="117">
        <f>(N26-F26)/F26</f>
        <v>3.7013380837187442</v>
      </c>
      <c r="Q26" s="118">
        <f>M26/E26</f>
        <v>4.7013380909901876</v>
      </c>
    </row>
    <row r="27" spans="1:19" ht="48.75" customHeight="1" x14ac:dyDescent="0.25">
      <c r="A27" s="70" t="s">
        <v>51</v>
      </c>
      <c r="B27" s="5"/>
      <c r="C27" s="5" t="s">
        <v>18</v>
      </c>
      <c r="D27" s="4" t="s">
        <v>19</v>
      </c>
      <c r="E27" s="31">
        <v>0</v>
      </c>
      <c r="F27" s="32">
        <v>0</v>
      </c>
      <c r="G27" s="33">
        <f>ROUND(H27/1,0)</f>
        <v>294000000</v>
      </c>
      <c r="H27" s="34">
        <f>294000000</f>
        <v>294000000</v>
      </c>
      <c r="I27" s="84">
        <f t="shared" si="5"/>
        <v>294000000</v>
      </c>
      <c r="J27" s="94">
        <v>323500000</v>
      </c>
      <c r="K27" s="71">
        <v>323500000</v>
      </c>
      <c r="L27" s="107">
        <f>K27-F27</f>
        <v>323500000</v>
      </c>
      <c r="M27" s="94">
        <v>323500000</v>
      </c>
      <c r="N27" s="71">
        <v>323500000</v>
      </c>
      <c r="O27" s="107">
        <f>N27-F27</f>
        <v>323500000</v>
      </c>
      <c r="P27" s="120">
        <v>1</v>
      </c>
      <c r="Q27" s="121">
        <v>1</v>
      </c>
    </row>
    <row r="28" spans="1:19" ht="45" x14ac:dyDescent="0.25">
      <c r="A28" s="3" t="s">
        <v>34</v>
      </c>
      <c r="B28" s="4"/>
      <c r="C28" s="4" t="s">
        <v>18</v>
      </c>
      <c r="D28" s="4" t="s">
        <v>19</v>
      </c>
      <c r="E28" s="31">
        <v>108277649</v>
      </c>
      <c r="F28" s="32">
        <v>92036001</v>
      </c>
      <c r="G28" s="33">
        <f>ROUND(H28/0.85,0)</f>
        <v>145000000</v>
      </c>
      <c r="H28" s="34">
        <f>140250000-17000000</f>
        <v>123250000</v>
      </c>
      <c r="I28" s="84">
        <f t="shared" si="5"/>
        <v>31213999</v>
      </c>
      <c r="J28" s="94">
        <f>138235294+1</f>
        <v>138235295</v>
      </c>
      <c r="K28" s="71">
        <v>117500000</v>
      </c>
      <c r="L28" s="107">
        <f t="shared" si="7"/>
        <v>25463999</v>
      </c>
      <c r="M28" s="168">
        <f>ROUND(N28/0.85,0)</f>
        <v>260000000</v>
      </c>
      <c r="N28" s="169">
        <v>221000000</v>
      </c>
      <c r="O28" s="107">
        <f t="shared" si="9"/>
        <v>128963999</v>
      </c>
      <c r="P28" s="117">
        <f>(N28-F28)/F28</f>
        <v>1.4012342735317238</v>
      </c>
      <c r="Q28" s="118">
        <f>M28/E28</f>
        <v>2.401234256573118</v>
      </c>
      <c r="S28" s="185"/>
    </row>
    <row r="29" spans="1:19" ht="22.5" x14ac:dyDescent="0.25">
      <c r="A29" s="188" t="s">
        <v>35</v>
      </c>
      <c r="B29" s="8"/>
      <c r="C29" s="4" t="s">
        <v>21</v>
      </c>
      <c r="D29" s="4" t="s">
        <v>22</v>
      </c>
      <c r="E29" s="31">
        <v>10992188</v>
      </c>
      <c r="F29" s="32">
        <v>8793750</v>
      </c>
      <c r="G29" s="33">
        <f>ROUND(H29/0.8,0)</f>
        <v>8127533</v>
      </c>
      <c r="H29" s="34">
        <v>6502026</v>
      </c>
      <c r="I29" s="84">
        <f t="shared" si="5"/>
        <v>-2291724</v>
      </c>
      <c r="J29" s="94">
        <f>ROUND(K29/0.8,0)</f>
        <v>7730830</v>
      </c>
      <c r="K29" s="71">
        <v>6184664</v>
      </c>
      <c r="L29" s="107">
        <f t="shared" si="7"/>
        <v>-2609086</v>
      </c>
      <c r="M29" s="94">
        <f>ROUND(N29/0.8,0)</f>
        <v>7730830</v>
      </c>
      <c r="N29" s="71">
        <v>6184664</v>
      </c>
      <c r="O29" s="107">
        <f t="shared" si="9"/>
        <v>-2609086</v>
      </c>
      <c r="P29" s="117">
        <f>(N29-F29)/F29</f>
        <v>-0.29669776830135042</v>
      </c>
      <c r="Q29" s="118">
        <f>M29/E29</f>
        <v>0.70330219970764696</v>
      </c>
    </row>
    <row r="30" spans="1:19" x14ac:dyDescent="0.25">
      <c r="A30" s="189"/>
      <c r="B30" s="65"/>
      <c r="C30" s="5" t="s">
        <v>21</v>
      </c>
      <c r="D30" s="4" t="s">
        <v>23</v>
      </c>
      <c r="E30" s="31">
        <v>4439535</v>
      </c>
      <c r="F30" s="32">
        <v>3551628</v>
      </c>
      <c r="G30" s="33">
        <f t="shared" ref="G30:G31" si="10">ROUND(H30/0.8,0)</f>
        <v>3307328</v>
      </c>
      <c r="H30" s="34">
        <v>2645862</v>
      </c>
      <c r="I30" s="84">
        <f t="shared" si="5"/>
        <v>-905766</v>
      </c>
      <c r="J30" s="94">
        <f>ROUND(K30/0.8,0)</f>
        <v>3156624</v>
      </c>
      <c r="K30" s="71">
        <v>2525299</v>
      </c>
      <c r="L30" s="107">
        <f t="shared" si="7"/>
        <v>-1026329</v>
      </c>
      <c r="M30" s="94">
        <f>ROUND(N30/0.8,0)</f>
        <v>3156624</v>
      </c>
      <c r="N30" s="71">
        <v>2525299</v>
      </c>
      <c r="O30" s="107">
        <f t="shared" si="9"/>
        <v>-1026329</v>
      </c>
      <c r="P30" s="117">
        <f>(N30-F30)/F30</f>
        <v>-0.28897423941921846</v>
      </c>
      <c r="Q30" s="118">
        <f>M30/E30</f>
        <v>0.71102581689298539</v>
      </c>
    </row>
    <row r="31" spans="1:19" ht="22.5" x14ac:dyDescent="0.25">
      <c r="A31" s="190"/>
      <c r="B31" s="64"/>
      <c r="C31" s="5" t="s">
        <v>21</v>
      </c>
      <c r="D31" s="4" t="s">
        <v>24</v>
      </c>
      <c r="E31" s="31">
        <v>2695313</v>
      </c>
      <c r="F31" s="32">
        <v>2156250</v>
      </c>
      <c r="G31" s="33">
        <f t="shared" si="10"/>
        <v>2000808</v>
      </c>
      <c r="H31" s="34">
        <v>1600646</v>
      </c>
      <c r="I31" s="84">
        <f t="shared" si="5"/>
        <v>-555604</v>
      </c>
      <c r="J31" s="94">
        <f>ROUND(K31/0.8,0)</f>
        <v>1895620</v>
      </c>
      <c r="K31" s="71">
        <v>1516496</v>
      </c>
      <c r="L31" s="107">
        <f t="shared" si="7"/>
        <v>-639754</v>
      </c>
      <c r="M31" s="94">
        <f>ROUND(N31/0.8,0)</f>
        <v>1895620</v>
      </c>
      <c r="N31" s="71">
        <v>1516496</v>
      </c>
      <c r="O31" s="107">
        <f t="shared" si="9"/>
        <v>-639754</v>
      </c>
      <c r="P31" s="117">
        <f>(N31-F31)/F31</f>
        <v>-0.29669750724637683</v>
      </c>
      <c r="Q31" s="118">
        <f>M31/E31</f>
        <v>0.70330236228593856</v>
      </c>
    </row>
    <row r="32" spans="1:19" ht="21" customHeight="1" x14ac:dyDescent="0.25">
      <c r="A32" s="188" t="s">
        <v>36</v>
      </c>
      <c r="B32" s="8"/>
      <c r="C32" s="57" t="s">
        <v>21</v>
      </c>
      <c r="D32" s="57" t="s">
        <v>22</v>
      </c>
      <c r="E32" s="54"/>
      <c r="F32" s="55"/>
      <c r="G32" s="58"/>
      <c r="H32" s="54"/>
      <c r="I32" s="83"/>
      <c r="J32" s="73"/>
      <c r="K32" s="74"/>
      <c r="L32" s="74"/>
      <c r="M32" s="73"/>
      <c r="N32" s="74"/>
      <c r="O32" s="74"/>
      <c r="P32" s="119"/>
      <c r="Q32" s="118"/>
    </row>
    <row r="33" spans="1:17" x14ac:dyDescent="0.25">
      <c r="A33" s="189"/>
      <c r="B33" s="65"/>
      <c r="C33" s="5" t="s">
        <v>21</v>
      </c>
      <c r="D33" s="4" t="s">
        <v>23</v>
      </c>
      <c r="E33" s="31">
        <v>1671744</v>
      </c>
      <c r="F33" s="32">
        <v>835872</v>
      </c>
      <c r="G33" s="33">
        <f>ROUND(H33/0.5,0)</f>
        <v>779756</v>
      </c>
      <c r="H33" s="34">
        <v>389878</v>
      </c>
      <c r="I33" s="84">
        <f t="shared" ref="I33:I44" si="11">H33-F33</f>
        <v>-445994</v>
      </c>
      <c r="J33" s="94">
        <f>ROUND(K33/0.5,0)</f>
        <v>1263324</v>
      </c>
      <c r="K33" s="71">
        <v>631662</v>
      </c>
      <c r="L33" s="107">
        <f t="shared" si="7"/>
        <v>-204210</v>
      </c>
      <c r="M33" s="94">
        <f>ROUND(N33/0.5,0)</f>
        <v>1263324</v>
      </c>
      <c r="N33" s="71">
        <v>631662</v>
      </c>
      <c r="O33" s="107">
        <f t="shared" si="9"/>
        <v>-204210</v>
      </c>
      <c r="P33" s="117">
        <f t="shared" ref="P33:P55" si="12">(N33-F33)/F33</f>
        <v>-0.24430774089812796</v>
      </c>
      <c r="Q33" s="118">
        <f>M33/E33</f>
        <v>0.7556922591018721</v>
      </c>
    </row>
    <row r="34" spans="1:17" ht="22.5" x14ac:dyDescent="0.25">
      <c r="A34" s="190"/>
      <c r="B34" s="64"/>
      <c r="C34" s="5" t="s">
        <v>21</v>
      </c>
      <c r="D34" s="4" t="s">
        <v>24</v>
      </c>
      <c r="E34" s="31">
        <v>2156248</v>
      </c>
      <c r="F34" s="32">
        <v>1078124</v>
      </c>
      <c r="G34" s="33">
        <f>ROUND(H34/0.5,0)</f>
        <v>1054556</v>
      </c>
      <c r="H34" s="34">
        <v>527278</v>
      </c>
      <c r="I34" s="84">
        <f t="shared" si="11"/>
        <v>-550846</v>
      </c>
      <c r="J34" s="94">
        <f>ROUND(K34/0.5,0)</f>
        <v>1709202</v>
      </c>
      <c r="K34" s="71">
        <v>854601</v>
      </c>
      <c r="L34" s="107">
        <f t="shared" si="7"/>
        <v>-223523</v>
      </c>
      <c r="M34" s="94">
        <f>ROUND(N34/0.5,0)</f>
        <v>1709202</v>
      </c>
      <c r="N34" s="71">
        <v>854601</v>
      </c>
      <c r="O34" s="107">
        <f t="shared" si="9"/>
        <v>-223523</v>
      </c>
      <c r="P34" s="117">
        <f t="shared" si="12"/>
        <v>-0.20732587346167974</v>
      </c>
      <c r="Q34" s="118">
        <f>M34/E34</f>
        <v>0.79267412653832026</v>
      </c>
    </row>
    <row r="35" spans="1:17" x14ac:dyDescent="0.25">
      <c r="A35" s="188" t="s">
        <v>37</v>
      </c>
      <c r="B35" s="137" t="s">
        <v>48</v>
      </c>
      <c r="C35" s="4" t="s">
        <v>18</v>
      </c>
      <c r="D35" s="4" t="s">
        <v>19</v>
      </c>
      <c r="E35" s="31">
        <v>729296855</v>
      </c>
      <c r="F35" s="32">
        <v>619902327</v>
      </c>
      <c r="G35" s="33">
        <f>ROUND(H35/0.85,0)</f>
        <v>423965134</v>
      </c>
      <c r="H35" s="34">
        <f>F35-151581963-127000000*0.85</f>
        <v>360370364</v>
      </c>
      <c r="I35" s="84">
        <f t="shared" si="11"/>
        <v>-259531963</v>
      </c>
      <c r="J35" s="94">
        <f t="shared" ref="J35:J39" si="13">ROUND(K35/0.85,0)</f>
        <v>512225278</v>
      </c>
      <c r="K35" s="71">
        <f>431991486+4000000*0.85</f>
        <v>435391486</v>
      </c>
      <c r="L35" s="107">
        <f t="shared" si="7"/>
        <v>-184510841</v>
      </c>
      <c r="M35" s="94">
        <f t="shared" ref="M35:M39" si="14">ROUND(N35/0.85,0)</f>
        <v>512225278</v>
      </c>
      <c r="N35" s="71">
        <v>435391486</v>
      </c>
      <c r="O35" s="107">
        <f t="shared" si="9"/>
        <v>-184510841</v>
      </c>
      <c r="P35" s="117">
        <f t="shared" si="12"/>
        <v>-0.29764502077760391</v>
      </c>
      <c r="Q35" s="118">
        <f>M35/E35</f>
        <v>0.70235497998959562</v>
      </c>
    </row>
    <row r="36" spans="1:17" x14ac:dyDescent="0.25">
      <c r="A36" s="189"/>
      <c r="B36" s="137" t="s">
        <v>45</v>
      </c>
      <c r="C36" s="4" t="s">
        <v>18</v>
      </c>
      <c r="D36" s="4" t="s">
        <v>19</v>
      </c>
      <c r="E36" s="31">
        <v>586117802</v>
      </c>
      <c r="F36" s="32">
        <v>498200131</v>
      </c>
      <c r="G36" s="33">
        <f>ROUND(H36/0.85,0)</f>
        <v>474352941</v>
      </c>
      <c r="H36" s="34">
        <f>420000000+21250000+17000000-93000000*0.85+34000000-10000000</f>
        <v>403200000</v>
      </c>
      <c r="I36" s="84">
        <f t="shared" si="11"/>
        <v>-95000131</v>
      </c>
      <c r="J36" s="94">
        <f t="shared" si="13"/>
        <v>493890675</v>
      </c>
      <c r="K36" s="71">
        <f>414807074+5000000</f>
        <v>419807074</v>
      </c>
      <c r="L36" s="107">
        <f t="shared" si="7"/>
        <v>-78393057</v>
      </c>
      <c r="M36" s="168">
        <f t="shared" si="14"/>
        <v>471209524</v>
      </c>
      <c r="N36" s="169">
        <f>400528095</f>
        <v>400528095</v>
      </c>
      <c r="O36" s="107">
        <f t="shared" si="9"/>
        <v>-97672036</v>
      </c>
      <c r="P36" s="117">
        <f t="shared" si="12"/>
        <v>-0.19604979991464513</v>
      </c>
      <c r="Q36" s="118">
        <f t="shared" ref="Q36:Q49" si="15">M36/E36</f>
        <v>0.80395019975864856</v>
      </c>
    </row>
    <row r="37" spans="1:17" x14ac:dyDescent="0.25">
      <c r="A37" s="189"/>
      <c r="B37" s="137" t="s">
        <v>46</v>
      </c>
      <c r="C37" s="4" t="s">
        <v>18</v>
      </c>
      <c r="D37" s="4" t="s">
        <v>19</v>
      </c>
      <c r="E37" s="31">
        <v>127947956</v>
      </c>
      <c r="F37" s="32">
        <v>108755763</v>
      </c>
      <c r="G37" s="33">
        <f>ROUND(H37/0.85,0)</f>
        <v>330358795</v>
      </c>
      <c r="H37" s="34">
        <f>F37+78200131+18268301+7237750+1221875+27716760+17404396-24000000+46000000</f>
        <v>280804976</v>
      </c>
      <c r="I37" s="84">
        <f t="shared" si="11"/>
        <v>172049213</v>
      </c>
      <c r="J37" s="94">
        <f t="shared" si="13"/>
        <v>283823529</v>
      </c>
      <c r="K37" s="71">
        <v>241250000</v>
      </c>
      <c r="L37" s="107">
        <f t="shared" si="7"/>
        <v>132494237</v>
      </c>
      <c r="M37" s="168">
        <f t="shared" si="14"/>
        <v>290761353</v>
      </c>
      <c r="N37" s="169">
        <f>208100463+1976250+37070437</f>
        <v>247147150</v>
      </c>
      <c r="O37" s="107">
        <f t="shared" si="9"/>
        <v>138391387</v>
      </c>
      <c r="P37" s="117">
        <f t="shared" si="12"/>
        <v>1.2724970445933979</v>
      </c>
      <c r="Q37" s="118">
        <f t="shared" si="15"/>
        <v>2.2724970534113105</v>
      </c>
    </row>
    <row r="38" spans="1:17" x14ac:dyDescent="0.25">
      <c r="A38" s="189"/>
      <c r="B38" s="137" t="s">
        <v>49</v>
      </c>
      <c r="C38" s="4" t="s">
        <v>18</v>
      </c>
      <c r="D38" s="4" t="s">
        <v>19</v>
      </c>
      <c r="E38" s="31">
        <v>38000000</v>
      </c>
      <c r="F38" s="32">
        <v>32300000</v>
      </c>
      <c r="G38" s="33">
        <f>ROUND(H38/0.85,0)+1</f>
        <v>16507882</v>
      </c>
      <c r="H38" s="34">
        <v>14031699</v>
      </c>
      <c r="I38" s="84">
        <f t="shared" si="11"/>
        <v>-18268301</v>
      </c>
      <c r="J38" s="94">
        <f t="shared" si="13"/>
        <v>24672364</v>
      </c>
      <c r="K38" s="71">
        <v>20971509</v>
      </c>
      <c r="L38" s="107">
        <f t="shared" si="7"/>
        <v>-11328491</v>
      </c>
      <c r="M38" s="168">
        <f t="shared" si="14"/>
        <v>21338364</v>
      </c>
      <c r="N38" s="169">
        <v>18137609</v>
      </c>
      <c r="O38" s="107">
        <f t="shared" si="9"/>
        <v>-14162391</v>
      </c>
      <c r="P38" s="117">
        <f t="shared" si="12"/>
        <v>-0.43846411764705884</v>
      </c>
      <c r="Q38" s="118">
        <f t="shared" si="15"/>
        <v>0.56153589473684207</v>
      </c>
    </row>
    <row r="39" spans="1:17" ht="22.5" x14ac:dyDescent="0.25">
      <c r="A39" s="190"/>
      <c r="B39" s="137" t="s">
        <v>50</v>
      </c>
      <c r="C39" s="4" t="s">
        <v>18</v>
      </c>
      <c r="D39" s="4" t="s">
        <v>19</v>
      </c>
      <c r="E39" s="31">
        <v>32306182</v>
      </c>
      <c r="F39" s="32">
        <v>27460254</v>
      </c>
      <c r="G39" s="33">
        <f>ROUND(H39/0.85,0)+1</f>
        <v>195541476</v>
      </c>
      <c r="H39" s="34">
        <f>F39+90000000+48750000</f>
        <v>166210254</v>
      </c>
      <c r="I39" s="84">
        <f t="shared" si="11"/>
        <v>138750000</v>
      </c>
      <c r="J39" s="94">
        <f t="shared" si="13"/>
        <v>179241551</v>
      </c>
      <c r="K39" s="71">
        <v>152355318</v>
      </c>
      <c r="L39" s="107">
        <f t="shared" si="7"/>
        <v>124895064</v>
      </c>
      <c r="M39" s="168">
        <f t="shared" si="14"/>
        <v>160625442</v>
      </c>
      <c r="N39" s="169">
        <v>136531626</v>
      </c>
      <c r="O39" s="107">
        <f t="shared" si="9"/>
        <v>109071372</v>
      </c>
      <c r="P39" s="117">
        <f t="shared" si="12"/>
        <v>3.9719724369628917</v>
      </c>
      <c r="Q39" s="118">
        <f t="shared" si="15"/>
        <v>4.9719722992955342</v>
      </c>
    </row>
    <row r="40" spans="1:17" ht="22.5" x14ac:dyDescent="0.25">
      <c r="A40" s="188" t="s">
        <v>38</v>
      </c>
      <c r="B40" s="69" t="s">
        <v>45</v>
      </c>
      <c r="C40" s="4" t="s">
        <v>21</v>
      </c>
      <c r="D40" s="4" t="s">
        <v>22</v>
      </c>
      <c r="E40" s="31">
        <v>150522041</v>
      </c>
      <c r="F40" s="32">
        <v>120417632</v>
      </c>
      <c r="G40" s="33">
        <f>ROUND(H40/0.8,0)</f>
        <v>139216885</v>
      </c>
      <c r="H40" s="48">
        <f>120000000+5670876-17871710*0.8</f>
        <v>111373508</v>
      </c>
      <c r="I40" s="84">
        <f t="shared" si="11"/>
        <v>-9044124</v>
      </c>
      <c r="J40" s="94">
        <v>139216885</v>
      </c>
      <c r="K40" s="71">
        <v>111373508</v>
      </c>
      <c r="L40" s="107">
        <f t="shared" si="7"/>
        <v>-9044124</v>
      </c>
      <c r="M40" s="168">
        <f>ROUND(N40/0.8,0)</f>
        <v>149841885</v>
      </c>
      <c r="N40" s="169">
        <f>111373508+8500000</f>
        <v>119873508</v>
      </c>
      <c r="O40" s="107">
        <f t="shared" si="9"/>
        <v>-544124</v>
      </c>
      <c r="P40" s="117">
        <f t="shared" si="12"/>
        <v>-4.5186405924341711E-3</v>
      </c>
      <c r="Q40" s="118">
        <f t="shared" si="15"/>
        <v>0.99548135279404026</v>
      </c>
    </row>
    <row r="41" spans="1:17" x14ac:dyDescent="0.25">
      <c r="A41" s="204"/>
      <c r="B41" s="137" t="s">
        <v>48</v>
      </c>
      <c r="C41" s="4" t="s">
        <v>21</v>
      </c>
      <c r="D41" s="4" t="s">
        <v>23</v>
      </c>
      <c r="E41" s="31">
        <v>24969297</v>
      </c>
      <c r="F41" s="32">
        <v>19975437</v>
      </c>
      <c r="G41" s="33">
        <f>ROUND(H41/0.8,0)</f>
        <v>985000</v>
      </c>
      <c r="H41" s="48">
        <v>788000</v>
      </c>
      <c r="I41" s="84">
        <f t="shared" si="11"/>
        <v>-19187437</v>
      </c>
      <c r="J41" s="94">
        <v>0</v>
      </c>
      <c r="K41" s="71">
        <v>0</v>
      </c>
      <c r="L41" s="107">
        <f t="shared" si="7"/>
        <v>-19975437</v>
      </c>
      <c r="M41" s="94">
        <v>0</v>
      </c>
      <c r="N41" s="71">
        <v>0</v>
      </c>
      <c r="O41" s="107">
        <f t="shared" si="9"/>
        <v>-19975437</v>
      </c>
      <c r="P41" s="117">
        <f t="shared" si="12"/>
        <v>-1</v>
      </c>
      <c r="Q41" s="118">
        <f t="shared" si="15"/>
        <v>0</v>
      </c>
    </row>
    <row r="42" spans="1:17" x14ac:dyDescent="0.25">
      <c r="A42" s="204"/>
      <c r="B42" s="69" t="s">
        <v>45</v>
      </c>
      <c r="C42" s="4" t="s">
        <v>21</v>
      </c>
      <c r="D42" s="4" t="s">
        <v>23</v>
      </c>
      <c r="E42" s="31">
        <v>54000000</v>
      </c>
      <c r="F42" s="32">
        <v>43200000</v>
      </c>
      <c r="G42" s="33">
        <f>ROUND(H42/0.8,0)</f>
        <v>12024745</v>
      </c>
      <c r="H42" s="48">
        <f>12244323+2175473-6000000*0.8</f>
        <v>9619796</v>
      </c>
      <c r="I42" s="84">
        <f t="shared" si="11"/>
        <v>-33580204</v>
      </c>
      <c r="J42" s="94">
        <f>ROUND(K42/0.8,0)+1</f>
        <v>13559212</v>
      </c>
      <c r="K42" s="71">
        <f>11347369-500000</f>
        <v>10847369</v>
      </c>
      <c r="L42" s="107">
        <f t="shared" si="7"/>
        <v>-32352631</v>
      </c>
      <c r="M42" s="168">
        <f>ROUND(N42/0.8,0)+1</f>
        <v>39809212</v>
      </c>
      <c r="N42" s="169">
        <f>11347369-500000+21000000</f>
        <v>31847369</v>
      </c>
      <c r="O42" s="107">
        <f t="shared" si="9"/>
        <v>-11352631</v>
      </c>
      <c r="P42" s="117">
        <f t="shared" si="12"/>
        <v>-0.26279238425925927</v>
      </c>
      <c r="Q42" s="118">
        <f>M42/E42</f>
        <v>0.7372076296296296</v>
      </c>
    </row>
    <row r="43" spans="1:17" ht="22.5" x14ac:dyDescent="0.25">
      <c r="A43" s="204"/>
      <c r="B43" s="137" t="s">
        <v>48</v>
      </c>
      <c r="C43" s="4" t="s">
        <v>21</v>
      </c>
      <c r="D43" s="4" t="s">
        <v>24</v>
      </c>
      <c r="E43" s="31">
        <v>71500084</v>
      </c>
      <c r="F43" s="32">
        <v>57200067</v>
      </c>
      <c r="G43" s="33">
        <f>ROUND(H43/0.8,0)</f>
        <v>39247733</v>
      </c>
      <c r="H43" s="48">
        <v>31398186</v>
      </c>
      <c r="I43" s="84">
        <f t="shared" si="11"/>
        <v>-25801881</v>
      </c>
      <c r="J43" s="94">
        <v>40602871</v>
      </c>
      <c r="K43" s="71">
        <v>32482297</v>
      </c>
      <c r="L43" s="107">
        <f t="shared" si="7"/>
        <v>-24717770</v>
      </c>
      <c r="M43" s="94">
        <v>40602871</v>
      </c>
      <c r="N43" s="71">
        <v>32482297</v>
      </c>
      <c r="O43" s="107">
        <f t="shared" si="9"/>
        <v>-24717770</v>
      </c>
      <c r="P43" s="117">
        <f t="shared" si="12"/>
        <v>-0.43212833998953182</v>
      </c>
      <c r="Q43" s="118">
        <f t="shared" si="15"/>
        <v>0.56787165452840582</v>
      </c>
    </row>
    <row r="44" spans="1:17" ht="22.5" x14ac:dyDescent="0.25">
      <c r="A44" s="205"/>
      <c r="B44" s="69" t="s">
        <v>45</v>
      </c>
      <c r="C44" s="4" t="s">
        <v>21</v>
      </c>
      <c r="D44" s="4" t="s">
        <v>24</v>
      </c>
      <c r="E44" s="31">
        <v>70704750</v>
      </c>
      <c r="F44" s="32">
        <v>56563800</v>
      </c>
      <c r="G44" s="33">
        <f>ROUND(H44/0.8,0)</f>
        <v>12000000</v>
      </c>
      <c r="H44" s="48">
        <v>9600000</v>
      </c>
      <c r="I44" s="84">
        <f t="shared" si="11"/>
        <v>-46963800</v>
      </c>
      <c r="J44" s="94">
        <v>6693354</v>
      </c>
      <c r="K44" s="71">
        <v>5354683</v>
      </c>
      <c r="L44" s="107">
        <f t="shared" si="7"/>
        <v>-51209117</v>
      </c>
      <c r="M44" s="94">
        <v>6693354</v>
      </c>
      <c r="N44" s="71">
        <v>5354683</v>
      </c>
      <c r="O44" s="107">
        <f t="shared" si="9"/>
        <v>-51209117</v>
      </c>
      <c r="P44" s="117">
        <f t="shared" si="12"/>
        <v>-0.90533374702548275</v>
      </c>
      <c r="Q44" s="118">
        <f>M44/E44</f>
        <v>9.4666256510347602E-2</v>
      </c>
    </row>
    <row r="45" spans="1:17" x14ac:dyDescent="0.25">
      <c r="A45" s="201" t="s">
        <v>39</v>
      </c>
      <c r="B45" s="202"/>
      <c r="C45" s="202"/>
      <c r="D45" s="203"/>
      <c r="E45" s="36">
        <f t="shared" ref="E45:O45" si="16">SUM(E24:E44)</f>
        <v>2145522373</v>
      </c>
      <c r="F45" s="37">
        <f t="shared" si="16"/>
        <v>1796366818</v>
      </c>
      <c r="G45" s="38">
        <f t="shared" si="16"/>
        <v>2455469908</v>
      </c>
      <c r="H45" s="36">
        <f t="shared" si="16"/>
        <v>2101911941</v>
      </c>
      <c r="I45" s="86">
        <f t="shared" si="16"/>
        <v>305545123</v>
      </c>
      <c r="J45" s="96">
        <f t="shared" si="16"/>
        <v>2547062038</v>
      </c>
      <c r="K45" s="76">
        <f t="shared" si="16"/>
        <v>2183062304</v>
      </c>
      <c r="L45" s="114">
        <f t="shared" si="16"/>
        <v>386695486</v>
      </c>
      <c r="M45" s="96">
        <f t="shared" si="16"/>
        <v>2620508307</v>
      </c>
      <c r="N45" s="76">
        <f t="shared" si="16"/>
        <v>2246022883</v>
      </c>
      <c r="O45" s="114">
        <f t="shared" si="16"/>
        <v>449656065</v>
      </c>
      <c r="P45" s="122">
        <f t="shared" si="12"/>
        <v>0.25031416773809501</v>
      </c>
      <c r="Q45" s="122">
        <f>M45/E45</f>
        <v>1.221384749922624</v>
      </c>
    </row>
    <row r="46" spans="1:17" ht="22.5" x14ac:dyDescent="0.25">
      <c r="A46" s="188" t="s">
        <v>40</v>
      </c>
      <c r="B46" s="8"/>
      <c r="C46" s="4" t="s">
        <v>21</v>
      </c>
      <c r="D46" s="4" t="s">
        <v>22</v>
      </c>
      <c r="E46" s="31">
        <v>16088595</v>
      </c>
      <c r="F46" s="32">
        <v>12870876</v>
      </c>
      <c r="G46" s="132">
        <f>ROUND(H46/0.8,0)</f>
        <v>9000000</v>
      </c>
      <c r="H46" s="131">
        <v>7200000</v>
      </c>
      <c r="I46" s="133">
        <f>H46-F46</f>
        <v>-5670876</v>
      </c>
      <c r="J46" s="94">
        <f>K46/0.8</f>
        <v>7500000</v>
      </c>
      <c r="K46" s="71">
        <f>7200000-1200000</f>
        <v>6000000</v>
      </c>
      <c r="L46" s="107">
        <f>K46-F46</f>
        <v>-6870876</v>
      </c>
      <c r="M46" s="94">
        <f>N46/0.8</f>
        <v>7500000</v>
      </c>
      <c r="N46" s="71">
        <f>7200000-1200000</f>
        <v>6000000</v>
      </c>
      <c r="O46" s="107">
        <f>N46-F46</f>
        <v>-6870876</v>
      </c>
      <c r="P46" s="117">
        <f t="shared" si="12"/>
        <v>-0.53383126369953371</v>
      </c>
      <c r="Q46" s="118">
        <f>M46/E46</f>
        <v>0.46616873630046624</v>
      </c>
    </row>
    <row r="47" spans="1:17" x14ac:dyDescent="0.25">
      <c r="A47" s="189"/>
      <c r="B47" s="65"/>
      <c r="C47" s="5" t="s">
        <v>21</v>
      </c>
      <c r="D47" s="4" t="s">
        <v>23</v>
      </c>
      <c r="E47" s="31">
        <v>6219340</v>
      </c>
      <c r="F47" s="32">
        <v>4975472</v>
      </c>
      <c r="G47" s="33">
        <f t="shared" ref="G47:G48" si="17">ROUND(H47/0.8,0)</f>
        <v>3500000</v>
      </c>
      <c r="H47" s="34">
        <f>3500000*0.8</f>
        <v>2800000</v>
      </c>
      <c r="I47" s="84">
        <f>H47-F47</f>
        <v>-2175472</v>
      </c>
      <c r="J47" s="94">
        <f>K47/0.8</f>
        <v>2875000</v>
      </c>
      <c r="K47" s="71">
        <f>2800000-500000</f>
        <v>2300000</v>
      </c>
      <c r="L47" s="107">
        <f>K47-F47</f>
        <v>-2675472</v>
      </c>
      <c r="M47" s="94">
        <f>N47/0.8</f>
        <v>2875000</v>
      </c>
      <c r="N47" s="71">
        <f>2800000-500000</f>
        <v>2300000</v>
      </c>
      <c r="O47" s="107">
        <f>N47-F47</f>
        <v>-2675472</v>
      </c>
      <c r="P47" s="117">
        <f t="shared" si="12"/>
        <v>-0.53773229956876456</v>
      </c>
      <c r="Q47" s="118">
        <f t="shared" si="15"/>
        <v>0.4622677004312355</v>
      </c>
    </row>
    <row r="48" spans="1:17" ht="22.5" x14ac:dyDescent="0.25">
      <c r="A48" s="190"/>
      <c r="B48" s="64"/>
      <c r="C48" s="5" t="s">
        <v>21</v>
      </c>
      <c r="D48" s="4" t="s">
        <v>24</v>
      </c>
      <c r="E48" s="31">
        <v>4268259</v>
      </c>
      <c r="F48" s="32">
        <v>3414607</v>
      </c>
      <c r="G48" s="33">
        <f t="shared" si="17"/>
        <v>2500000</v>
      </c>
      <c r="H48" s="34">
        <v>2000000</v>
      </c>
      <c r="I48" s="84">
        <f>H48-F48</f>
        <v>-1414607</v>
      </c>
      <c r="J48" s="94">
        <f>K48/0.8</f>
        <v>2000000</v>
      </c>
      <c r="K48" s="71">
        <f>2000000-400000</f>
        <v>1600000</v>
      </c>
      <c r="L48" s="107">
        <f>K48-F48</f>
        <v>-1814607</v>
      </c>
      <c r="M48" s="94">
        <f>N48/0.8</f>
        <v>2000000</v>
      </c>
      <c r="N48" s="71">
        <f>2000000-400000</f>
        <v>1600000</v>
      </c>
      <c r="O48" s="107">
        <f>N48-F48</f>
        <v>-1814607</v>
      </c>
      <c r="P48" s="117">
        <f t="shared" si="12"/>
        <v>-0.5314248462560992</v>
      </c>
      <c r="Q48" s="118">
        <f t="shared" si="15"/>
        <v>0.46857512629856812</v>
      </c>
    </row>
    <row r="49" spans="1:17" ht="23.25" thickBot="1" x14ac:dyDescent="0.3">
      <c r="A49" s="7" t="s">
        <v>41</v>
      </c>
      <c r="B49" s="8"/>
      <c r="C49" s="8" t="s">
        <v>18</v>
      </c>
      <c r="D49" s="8" t="s">
        <v>19</v>
      </c>
      <c r="E49" s="138">
        <v>68828702</v>
      </c>
      <c r="F49" s="139">
        <v>58504396</v>
      </c>
      <c r="G49" s="132">
        <f>ROUND(H49/0.85,0)</f>
        <v>46000000</v>
      </c>
      <c r="H49" s="131">
        <f>46000000*0.85</f>
        <v>39100000</v>
      </c>
      <c r="I49" s="133">
        <f>H49-F49</f>
        <v>-19404396</v>
      </c>
      <c r="J49" s="134">
        <f>ROUND(K49/0.85,0)+1</f>
        <v>36117648</v>
      </c>
      <c r="K49" s="135">
        <f>39100000-5000000-4000000*0.85</f>
        <v>30700000</v>
      </c>
      <c r="L49" s="136">
        <f>K49-F49</f>
        <v>-27804396</v>
      </c>
      <c r="M49" s="134">
        <f>ROUND(N49/0.85,0)+1</f>
        <v>36117648</v>
      </c>
      <c r="N49" s="135">
        <f>39100000-5000000-4000000*0.85</f>
        <v>30700000</v>
      </c>
      <c r="O49" s="136">
        <f>N49-F49</f>
        <v>-27804396</v>
      </c>
      <c r="P49" s="117">
        <f t="shared" si="12"/>
        <v>-0.4752531074758895</v>
      </c>
      <c r="Q49" s="118">
        <f t="shared" si="15"/>
        <v>0.52474689991974566</v>
      </c>
    </row>
    <row r="50" spans="1:17" ht="22.5" x14ac:dyDescent="0.25">
      <c r="A50" s="9" t="s">
        <v>42</v>
      </c>
      <c r="B50" s="62"/>
      <c r="C50" s="10" t="s">
        <v>21</v>
      </c>
      <c r="D50" s="10" t="s">
        <v>22</v>
      </c>
      <c r="E50" s="39">
        <f t="shared" ref="E50:L52" si="18">SUMIF($D$6:$D$49,$D50,E$6:E$49)</f>
        <v>972857578</v>
      </c>
      <c r="F50" s="39">
        <f t="shared" si="18"/>
        <v>778286060</v>
      </c>
      <c r="G50" s="39">
        <f t="shared" si="18"/>
        <v>972857576</v>
      </c>
      <c r="H50" s="40">
        <f t="shared" si="18"/>
        <v>778286060</v>
      </c>
      <c r="I50" s="87">
        <f t="shared" si="18"/>
        <v>0</v>
      </c>
      <c r="J50" s="99">
        <f t="shared" si="18"/>
        <v>972857577</v>
      </c>
      <c r="K50" s="100">
        <f t="shared" si="18"/>
        <v>778286060</v>
      </c>
      <c r="L50" s="126">
        <f t="shared" si="18"/>
        <v>0</v>
      </c>
      <c r="M50" s="99">
        <f t="shared" ref="M50:O52" si="19">SUMIF($D$6:$D$49,$D50,M$6:M$49)</f>
        <v>972857577</v>
      </c>
      <c r="N50" s="100">
        <f t="shared" si="19"/>
        <v>778286060</v>
      </c>
      <c r="O50" s="126">
        <f t="shared" si="19"/>
        <v>0</v>
      </c>
      <c r="P50" s="101">
        <f t="shared" si="12"/>
        <v>0</v>
      </c>
      <c r="Q50" s="118">
        <f t="shared" ref="Q50:Q55" si="20">(M50-E50)/E50</f>
        <v>-1.0278996870804042E-9</v>
      </c>
    </row>
    <row r="51" spans="1:17" x14ac:dyDescent="0.25">
      <c r="A51" s="11" t="s">
        <v>43</v>
      </c>
      <c r="B51" s="63"/>
      <c r="C51" s="6" t="s">
        <v>21</v>
      </c>
      <c r="D51" s="6" t="s">
        <v>23</v>
      </c>
      <c r="E51" s="41">
        <f t="shared" si="18"/>
        <v>270928012</v>
      </c>
      <c r="F51" s="41">
        <f t="shared" si="18"/>
        <v>216240884</v>
      </c>
      <c r="G51" s="41">
        <f t="shared" si="18"/>
        <v>270593514</v>
      </c>
      <c r="H51" s="42">
        <f t="shared" si="18"/>
        <v>216240884</v>
      </c>
      <c r="I51" s="88">
        <f t="shared" si="18"/>
        <v>0</v>
      </c>
      <c r="J51" s="77">
        <f>SUMIF($D$6:$D$49,$D51,J$6:J$49)</f>
        <v>270774853</v>
      </c>
      <c r="K51" s="78">
        <f t="shared" si="18"/>
        <v>216240884</v>
      </c>
      <c r="L51" s="127">
        <f t="shared" si="18"/>
        <v>0</v>
      </c>
      <c r="M51" s="77">
        <f>SUMIF($D$6:$D$49,$D51,M$6:M$49)</f>
        <v>270774853</v>
      </c>
      <c r="N51" s="78">
        <f t="shared" si="19"/>
        <v>216240884</v>
      </c>
      <c r="O51" s="127">
        <f t="shared" si="19"/>
        <v>0</v>
      </c>
      <c r="P51" s="101">
        <f t="shared" si="12"/>
        <v>0</v>
      </c>
      <c r="Q51" s="118">
        <f>(M51-E51)/E51</f>
        <v>-5.6531253032632148E-4</v>
      </c>
    </row>
    <row r="52" spans="1:17" ht="22.5" x14ac:dyDescent="0.25">
      <c r="A52" s="11" t="s">
        <v>43</v>
      </c>
      <c r="B52" s="63"/>
      <c r="C52" s="6" t="s">
        <v>21</v>
      </c>
      <c r="D52" s="6" t="s">
        <v>24</v>
      </c>
      <c r="E52" s="41">
        <f t="shared" si="18"/>
        <v>214705724</v>
      </c>
      <c r="F52" s="41">
        <f t="shared" si="18"/>
        <v>171117704</v>
      </c>
      <c r="G52" s="41">
        <f t="shared" si="18"/>
        <v>214292590</v>
      </c>
      <c r="H52" s="42">
        <f t="shared" si="18"/>
        <v>171117704</v>
      </c>
      <c r="I52" s="88">
        <f t="shared" si="18"/>
        <v>0</v>
      </c>
      <c r="J52" s="77">
        <f t="shared" si="18"/>
        <v>214538081</v>
      </c>
      <c r="K52" s="78">
        <f t="shared" si="18"/>
        <v>171117704</v>
      </c>
      <c r="L52" s="127">
        <f t="shared" si="18"/>
        <v>0</v>
      </c>
      <c r="M52" s="77">
        <f t="shared" si="19"/>
        <v>214538081</v>
      </c>
      <c r="N52" s="78">
        <f t="shared" si="19"/>
        <v>171117704</v>
      </c>
      <c r="O52" s="127">
        <f t="shared" si="19"/>
        <v>0</v>
      </c>
      <c r="P52" s="101">
        <f t="shared" si="12"/>
        <v>0</v>
      </c>
      <c r="Q52" s="118">
        <f t="shared" si="20"/>
        <v>-7.8080358956801729E-4</v>
      </c>
    </row>
    <row r="53" spans="1:17" x14ac:dyDescent="0.25">
      <c r="A53" s="170" t="s">
        <v>43</v>
      </c>
      <c r="B53" s="171"/>
      <c r="C53" s="172" t="s">
        <v>21</v>
      </c>
      <c r="D53" s="172"/>
      <c r="E53" s="173">
        <f t="shared" ref="E53:I53" si="21">SUM(E50:E52)</f>
        <v>1458491314</v>
      </c>
      <c r="F53" s="173">
        <f t="shared" si="21"/>
        <v>1165644648</v>
      </c>
      <c r="G53" s="173">
        <f t="shared" si="21"/>
        <v>1457743680</v>
      </c>
      <c r="H53" s="174">
        <f t="shared" si="21"/>
        <v>1165644648</v>
      </c>
      <c r="I53" s="175">
        <f t="shared" si="21"/>
        <v>0</v>
      </c>
      <c r="J53" s="173">
        <f t="shared" ref="J53:L53" si="22">SUM(J50:J52)</f>
        <v>1458170511</v>
      </c>
      <c r="K53" s="174">
        <f t="shared" si="22"/>
        <v>1165644648</v>
      </c>
      <c r="L53" s="176">
        <f t="shared" si="22"/>
        <v>0</v>
      </c>
      <c r="M53" s="173">
        <f t="shared" ref="M53:O53" si="23">SUM(M50:M52)</f>
        <v>1458170511</v>
      </c>
      <c r="N53" s="174">
        <f t="shared" si="23"/>
        <v>1165644648</v>
      </c>
      <c r="O53" s="176">
        <f t="shared" si="23"/>
        <v>0</v>
      </c>
      <c r="P53" s="177">
        <f t="shared" si="12"/>
        <v>0</v>
      </c>
      <c r="Q53" s="118">
        <f>(M53-E53)/E53</f>
        <v>-2.1995537232249847E-4</v>
      </c>
    </row>
    <row r="54" spans="1:17" ht="24.75" thickBot="1" x14ac:dyDescent="0.3">
      <c r="A54" s="178" t="s">
        <v>43</v>
      </c>
      <c r="B54" s="179"/>
      <c r="C54" s="180" t="s">
        <v>18</v>
      </c>
      <c r="D54" s="180" t="s">
        <v>19</v>
      </c>
      <c r="E54" s="181">
        <f t="shared" ref="E54:O54" si="24">SUMIF($D$6:$D$49,$D54,E$6:E$49)</f>
        <v>3193608585</v>
      </c>
      <c r="F54" s="181">
        <f t="shared" si="24"/>
        <v>2714567293</v>
      </c>
      <c r="G54" s="181">
        <f t="shared" si="24"/>
        <v>3141726228</v>
      </c>
      <c r="H54" s="182">
        <f t="shared" si="24"/>
        <v>2714567293</v>
      </c>
      <c r="I54" s="183">
        <f t="shared" si="24"/>
        <v>0</v>
      </c>
      <c r="J54" s="181">
        <f t="shared" si="24"/>
        <v>3136520349</v>
      </c>
      <c r="K54" s="182">
        <f t="shared" si="24"/>
        <v>2714567293</v>
      </c>
      <c r="L54" s="184">
        <f t="shared" si="24"/>
        <v>0</v>
      </c>
      <c r="M54" s="181">
        <f t="shared" si="24"/>
        <v>3136520348</v>
      </c>
      <c r="N54" s="182">
        <f t="shared" si="24"/>
        <v>2714567293</v>
      </c>
      <c r="O54" s="184">
        <f t="shared" si="24"/>
        <v>0</v>
      </c>
      <c r="P54" s="177">
        <f t="shared" si="12"/>
        <v>0</v>
      </c>
      <c r="Q54" s="118">
        <f t="shared" si="20"/>
        <v>-1.7875777660461167E-2</v>
      </c>
    </row>
    <row r="55" spans="1:17" x14ac:dyDescent="0.25">
      <c r="A55" s="20" t="s">
        <v>44</v>
      </c>
      <c r="B55" s="20"/>
      <c r="C55" s="20"/>
      <c r="D55" s="20"/>
      <c r="E55" s="43">
        <f t="shared" ref="E55:L55" si="25">SUM(E53:E54)</f>
        <v>4652099899</v>
      </c>
      <c r="F55" s="43">
        <f t="shared" si="25"/>
        <v>3880211941</v>
      </c>
      <c r="G55" s="89">
        <f t="shared" si="25"/>
        <v>4599469908</v>
      </c>
      <c r="H55" s="43">
        <f t="shared" si="25"/>
        <v>3880211941</v>
      </c>
      <c r="I55" s="90">
        <f t="shared" si="25"/>
        <v>0</v>
      </c>
      <c r="J55" s="89">
        <f t="shared" si="25"/>
        <v>4594690860</v>
      </c>
      <c r="K55" s="43">
        <f t="shared" si="25"/>
        <v>3880211941</v>
      </c>
      <c r="L55" s="115">
        <f t="shared" si="25"/>
        <v>0</v>
      </c>
      <c r="M55" s="89">
        <f t="shared" ref="M55:O55" si="26">SUM(M53:M54)</f>
        <v>4594690859</v>
      </c>
      <c r="N55" s="43">
        <f t="shared" si="26"/>
        <v>3880211941</v>
      </c>
      <c r="O55" s="115">
        <f t="shared" si="26"/>
        <v>0</v>
      </c>
      <c r="P55" s="105">
        <f t="shared" si="12"/>
        <v>0</v>
      </c>
      <c r="Q55" s="118">
        <f t="shared" si="20"/>
        <v>-1.2340457265833963E-2</v>
      </c>
    </row>
    <row r="56" spans="1:17" s="22" customFormat="1" ht="15.75" thickBot="1" x14ac:dyDescent="0.3">
      <c r="A56" s="15" t="s">
        <v>8</v>
      </c>
      <c r="B56" s="15"/>
      <c r="C56" s="15" t="s">
        <v>9</v>
      </c>
      <c r="D56" s="15" t="s">
        <v>10</v>
      </c>
      <c r="E56" s="15" t="s">
        <v>11</v>
      </c>
      <c r="F56" s="16" t="s">
        <v>12</v>
      </c>
      <c r="G56" s="17" t="str">
        <f>G5</f>
        <v>(6)</v>
      </c>
      <c r="H56" s="17" t="str">
        <f>H5</f>
        <v>(7)</v>
      </c>
      <c r="I56" s="17" t="str">
        <f>I5</f>
        <v>(8)= (7)-(5)</v>
      </c>
      <c r="J56" s="28" t="str">
        <f t="shared" ref="J56:L56" si="27">J5</f>
        <v>(9)</v>
      </c>
      <c r="K56" s="29" t="str">
        <f t="shared" si="27"/>
        <v>(10)</v>
      </c>
      <c r="L56" s="110" t="str">
        <f t="shared" si="27"/>
        <v>(11)=(10)-(5)</v>
      </c>
      <c r="M56" s="28" t="str">
        <f t="shared" ref="M56:Q56" si="28">M5</f>
        <v>(9)</v>
      </c>
      <c r="N56" s="29" t="str">
        <f t="shared" si="28"/>
        <v>(10)</v>
      </c>
      <c r="O56" s="110" t="str">
        <f t="shared" si="28"/>
        <v>(11)=(10)-(5)</v>
      </c>
      <c r="P56" s="106" t="str">
        <f t="shared" si="28"/>
        <v>(12)</v>
      </c>
      <c r="Q56" s="98" t="str">
        <f t="shared" si="28"/>
        <v>(13)=(9) / (4)</v>
      </c>
    </row>
    <row r="57" spans="1:17" s="22" customFormat="1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P57" s="116"/>
      <c r="Q57" s="116"/>
    </row>
    <row r="58" spans="1:17" s="22" customFormat="1" x14ac:dyDescent="0.25">
      <c r="G58" s="46"/>
      <c r="K58" s="46"/>
      <c r="N58" s="142"/>
      <c r="P58" s="116"/>
      <c r="Q58" s="116"/>
    </row>
    <row r="59" spans="1:17" s="22" customFormat="1" x14ac:dyDescent="0.25">
      <c r="M59" s="140"/>
      <c r="N59" s="142"/>
      <c r="P59" s="116"/>
      <c r="Q59" s="116"/>
    </row>
    <row r="60" spans="1:17" s="22" customFormat="1" x14ac:dyDescent="0.25">
      <c r="M60" s="141"/>
      <c r="N60" s="142"/>
      <c r="P60" s="116"/>
      <c r="Q60" s="116"/>
    </row>
    <row r="61" spans="1:17" s="22" customFormat="1" x14ac:dyDescent="0.25">
      <c r="N61" s="143"/>
      <c r="O61" s="145"/>
      <c r="P61" s="116"/>
      <c r="Q61" s="116"/>
    </row>
    <row r="62" spans="1:17" s="22" customFormat="1" x14ac:dyDescent="0.25">
      <c r="B62" s="66"/>
      <c r="O62" s="145"/>
      <c r="P62" s="116"/>
      <c r="Q62" s="116"/>
    </row>
    <row r="63" spans="1:17" s="22" customFormat="1" x14ac:dyDescent="0.25">
      <c r="B63" s="66"/>
      <c r="P63" s="116"/>
      <c r="Q63" s="116"/>
    </row>
    <row r="64" spans="1:17" s="22" customFormat="1" x14ac:dyDescent="0.25">
      <c r="B64" s="66"/>
      <c r="O64" s="140"/>
      <c r="P64" s="116"/>
      <c r="Q64" s="116"/>
    </row>
    <row r="65" spans="2:17" x14ac:dyDescent="0.25">
      <c r="B65" s="66"/>
      <c r="O65" s="49"/>
    </row>
    <row r="66" spans="2:17" x14ac:dyDescent="0.25">
      <c r="B66" s="66"/>
    </row>
    <row r="67" spans="2:17" x14ac:dyDescent="0.25">
      <c r="B67" s="66"/>
    </row>
    <row r="68" spans="2:17" x14ac:dyDescent="0.25">
      <c r="B68" s="66"/>
    </row>
    <row r="69" spans="2:17" x14ac:dyDescent="0.25">
      <c r="B69" s="66"/>
    </row>
    <row r="70" spans="2:17" x14ac:dyDescent="0.25">
      <c r="B70" s="66"/>
    </row>
    <row r="71" spans="2:17" s="22" customFormat="1" x14ac:dyDescent="0.25">
      <c r="B71" s="66"/>
      <c r="P71" s="116"/>
      <c r="Q71" s="116"/>
    </row>
    <row r="72" spans="2:17" s="22" customFormat="1" x14ac:dyDescent="0.25">
      <c r="B72" s="66"/>
      <c r="P72" s="116"/>
      <c r="Q72" s="116"/>
    </row>
    <row r="73" spans="2:17" s="22" customFormat="1" x14ac:dyDescent="0.25">
      <c r="B73" s="66"/>
      <c r="P73" s="116"/>
      <c r="Q73" s="116"/>
    </row>
    <row r="74" spans="2:17" s="22" customFormat="1" x14ac:dyDescent="0.25">
      <c r="B74" s="67"/>
      <c r="P74" s="116"/>
      <c r="Q74" s="116"/>
    </row>
    <row r="75" spans="2:17" s="44" customFormat="1" x14ac:dyDescent="0.25">
      <c r="P75" s="124"/>
      <c r="Q75" s="124"/>
    </row>
    <row r="76" spans="2:17" s="22" customFormat="1" x14ac:dyDescent="0.25">
      <c r="P76" s="116"/>
      <c r="Q76" s="116"/>
    </row>
    <row r="77" spans="2:17" s="22" customFormat="1" x14ac:dyDescent="0.25">
      <c r="P77" s="116"/>
      <c r="Q77" s="116"/>
    </row>
    <row r="78" spans="2:17" s="22" customFormat="1" x14ac:dyDescent="0.25">
      <c r="P78" s="116"/>
      <c r="Q78" s="116"/>
    </row>
    <row r="79" spans="2:17" s="22" customFormat="1" x14ac:dyDescent="0.2">
      <c r="B79" s="68"/>
      <c r="P79" s="116"/>
      <c r="Q79" s="116"/>
    </row>
    <row r="80" spans="2:17" s="22" customFormat="1" x14ac:dyDescent="0.2">
      <c r="B80" s="68"/>
      <c r="P80" s="116"/>
      <c r="Q80" s="116"/>
    </row>
    <row r="81" spans="2:17" s="22" customFormat="1" x14ac:dyDescent="0.2">
      <c r="B81" s="68"/>
      <c r="P81" s="116"/>
      <c r="Q81" s="116"/>
    </row>
    <row r="82" spans="2:17" s="22" customFormat="1" x14ac:dyDescent="0.2">
      <c r="B82" s="68"/>
      <c r="P82" s="116"/>
      <c r="Q82" s="116"/>
    </row>
    <row r="83" spans="2:17" x14ac:dyDescent="0.25">
      <c r="B83" s="68"/>
    </row>
    <row r="84" spans="2:17" x14ac:dyDescent="0.25">
      <c r="B84" s="68"/>
    </row>
    <row r="87" spans="2:17" s="1" customFormat="1" ht="11.25" x14ac:dyDescent="0.2">
      <c r="P87" s="125"/>
      <c r="Q87" s="125"/>
    </row>
    <row r="88" spans="2:17" s="1" customFormat="1" ht="11.25" x14ac:dyDescent="0.2">
      <c r="P88" s="125"/>
      <c r="Q88" s="125"/>
    </row>
    <row r="89" spans="2:17" s="1" customFormat="1" ht="11.25" x14ac:dyDescent="0.2">
      <c r="P89" s="125"/>
      <c r="Q89" s="125"/>
    </row>
    <row r="90" spans="2:17" s="1" customFormat="1" ht="11.25" x14ac:dyDescent="0.2">
      <c r="P90" s="125"/>
      <c r="Q90" s="125"/>
    </row>
    <row r="91" spans="2:17" s="1" customFormat="1" ht="11.25" x14ac:dyDescent="0.2">
      <c r="P91" s="125"/>
      <c r="Q91" s="125"/>
    </row>
    <row r="92" spans="2:17" s="1" customFormat="1" ht="11.25" x14ac:dyDescent="0.2">
      <c r="P92" s="125"/>
      <c r="Q92" s="125"/>
    </row>
    <row r="93" spans="2:17" s="1" customFormat="1" ht="11.25" x14ac:dyDescent="0.2">
      <c r="P93" s="125"/>
      <c r="Q93" s="125"/>
    </row>
    <row r="94" spans="2:17" s="1" customFormat="1" ht="11.25" x14ac:dyDescent="0.2">
      <c r="P94" s="125"/>
      <c r="Q94" s="125"/>
    </row>
    <row r="95" spans="2:17" s="1" customFormat="1" ht="11.25" x14ac:dyDescent="0.2">
      <c r="P95" s="125"/>
      <c r="Q95" s="125"/>
    </row>
    <row r="96" spans="2:17" s="1" customFormat="1" ht="11.25" x14ac:dyDescent="0.2">
      <c r="P96" s="125"/>
      <c r="Q96" s="125"/>
    </row>
    <row r="97" spans="16:17" s="1" customFormat="1" ht="11.25" x14ac:dyDescent="0.2">
      <c r="P97" s="125"/>
      <c r="Q97" s="125"/>
    </row>
    <row r="98" spans="16:17" s="1" customFormat="1" ht="11.25" x14ac:dyDescent="0.2">
      <c r="P98" s="125"/>
      <c r="Q98" s="125"/>
    </row>
    <row r="99" spans="16:17" s="1" customFormat="1" ht="11.25" x14ac:dyDescent="0.2">
      <c r="P99" s="125"/>
      <c r="Q99" s="125"/>
    </row>
    <row r="100" spans="16:17" s="1" customFormat="1" ht="11.25" x14ac:dyDescent="0.2">
      <c r="P100" s="125"/>
      <c r="Q100" s="125"/>
    </row>
    <row r="101" spans="16:17" s="1" customFormat="1" ht="11.25" x14ac:dyDescent="0.2">
      <c r="P101" s="125"/>
      <c r="Q101" s="125"/>
    </row>
    <row r="102" spans="16:17" s="1" customFormat="1" ht="11.25" x14ac:dyDescent="0.2">
      <c r="P102" s="125"/>
      <c r="Q102" s="125"/>
    </row>
    <row r="103" spans="16:17" s="1" customFormat="1" ht="11.25" x14ac:dyDescent="0.2">
      <c r="P103" s="125"/>
      <c r="Q103" s="125"/>
    </row>
    <row r="104" spans="16:17" s="1" customFormat="1" ht="11.25" x14ac:dyDescent="0.2">
      <c r="P104" s="125"/>
      <c r="Q104" s="125"/>
    </row>
    <row r="105" spans="16:17" s="1" customFormat="1" ht="11.25" x14ac:dyDescent="0.2">
      <c r="P105" s="125"/>
      <c r="Q105" s="125"/>
    </row>
  </sheetData>
  <mergeCells count="17">
    <mergeCell ref="A14:A16"/>
    <mergeCell ref="A19:A21"/>
    <mergeCell ref="A23:D23"/>
    <mergeCell ref="A24:A26"/>
    <mergeCell ref="A46:A48"/>
    <mergeCell ref="A29:A31"/>
    <mergeCell ref="A32:A34"/>
    <mergeCell ref="A35:A39"/>
    <mergeCell ref="A40:A44"/>
    <mergeCell ref="A45:D45"/>
    <mergeCell ref="E3:F3"/>
    <mergeCell ref="A7:A9"/>
    <mergeCell ref="A11:A13"/>
    <mergeCell ref="J3:L3"/>
    <mergeCell ref="P3:Q3"/>
    <mergeCell ref="M3:O3"/>
    <mergeCell ref="G3:I3"/>
  </mergeCells>
  <pageMargins left="0.7" right="0.7" top="0.75" bottom="0.75" header="0.3" footer="0.3"/>
  <pageSetup paperSize="8" scale="61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423F71-798E-4446-8445-D308A7E93136}">
  <sheetPr>
    <tabColor rgb="FFFFFF00"/>
    <pageSetUpPr fitToPage="1"/>
  </sheetPr>
  <dimension ref="A1:T31"/>
  <sheetViews>
    <sheetView tabSelected="1" topLeftCell="A14" zoomScale="115" zoomScaleNormal="115" workbookViewId="0">
      <selection activeCell="G37" sqref="G37"/>
    </sheetView>
  </sheetViews>
  <sheetFormatPr defaultRowHeight="15" x14ac:dyDescent="0.25"/>
  <cols>
    <col min="1" max="1" width="10.28515625" customWidth="1"/>
    <col min="2" max="2" width="17.42578125" customWidth="1"/>
    <col min="3" max="16" width="15.7109375" customWidth="1"/>
    <col min="17" max="17" width="10.42578125" customWidth="1"/>
    <col min="18" max="18" width="17.140625" customWidth="1"/>
    <col min="19" max="19" width="11.5703125" bestFit="1" customWidth="1"/>
    <col min="20" max="20" width="12.7109375" bestFit="1" customWidth="1"/>
  </cols>
  <sheetData>
    <row r="1" spans="1:20" ht="39" customHeight="1" x14ac:dyDescent="0.25">
      <c r="A1" s="22"/>
      <c r="B1" s="22"/>
      <c r="C1" s="208" t="s">
        <v>0</v>
      </c>
      <c r="D1" s="208"/>
      <c r="E1" s="209" t="s">
        <v>75</v>
      </c>
      <c r="F1" s="209"/>
      <c r="G1" s="159" t="s">
        <v>52</v>
      </c>
      <c r="H1" s="211" t="s">
        <v>75</v>
      </c>
      <c r="I1" s="211"/>
      <c r="J1" s="160" t="s">
        <v>52</v>
      </c>
      <c r="K1" s="210" t="s">
        <v>73</v>
      </c>
      <c r="L1" s="210"/>
      <c r="M1" s="210" t="s">
        <v>57</v>
      </c>
      <c r="N1" s="210"/>
      <c r="O1" s="165" t="s">
        <v>52</v>
      </c>
    </row>
    <row r="2" spans="1:20" x14ac:dyDescent="0.25">
      <c r="A2" s="22"/>
      <c r="B2" s="22"/>
      <c r="C2" s="52" t="s">
        <v>4</v>
      </c>
      <c r="D2" s="52" t="s">
        <v>6</v>
      </c>
      <c r="E2" s="162" t="s">
        <v>4</v>
      </c>
      <c r="F2" s="162" t="s">
        <v>6</v>
      </c>
      <c r="G2" s="162" t="s">
        <v>6</v>
      </c>
      <c r="H2" s="163" t="s">
        <v>4</v>
      </c>
      <c r="I2" s="163" t="s">
        <v>6</v>
      </c>
      <c r="J2" s="163" t="s">
        <v>6</v>
      </c>
      <c r="K2" s="164" t="s">
        <v>4</v>
      </c>
      <c r="L2" s="164" t="s">
        <v>6</v>
      </c>
      <c r="M2" s="164" t="s">
        <v>4</v>
      </c>
      <c r="N2" s="164" t="s">
        <v>6</v>
      </c>
      <c r="O2" s="164" t="s">
        <v>6</v>
      </c>
    </row>
    <row r="3" spans="1:20" x14ac:dyDescent="0.25">
      <c r="A3" s="148" t="s">
        <v>58</v>
      </c>
      <c r="B3" s="53"/>
      <c r="C3" s="157">
        <f>'Πρόταση ανα ΑΠ'!E6+'Πρόταση ανα ΑΠ'!E7+'Πρόταση ανα ΑΠ'!E8+'Πρόταση ανα ΑΠ'!E9</f>
        <v>317764506</v>
      </c>
      <c r="D3" s="157">
        <f>'Πρόταση ανα ΑΠ'!F6+'Πρόταση ανα ΑΠ'!F7+'Πρόταση ανα ΑΠ'!F8+'Πρόταση ανα ΑΠ'!F9</f>
        <v>268649830</v>
      </c>
      <c r="E3" s="157">
        <f>'Πρόταση ανα ΑΠ'!G6+'Πρόταση ανα ΑΠ'!G7+'Πρόταση ανα ΑΠ'!G8+'Πρόταση ανα ΑΠ'!G9</f>
        <v>160000000</v>
      </c>
      <c r="F3" s="157">
        <f>'Πρόταση ανα ΑΠ'!H6+'Πρόταση ανα ΑΠ'!H7+'Πρόταση ανα ΑΠ'!H8+'Πρόταση ανα ΑΠ'!H9</f>
        <v>136000000</v>
      </c>
      <c r="G3" s="149">
        <f>(F3-D3)/D3</f>
        <v>-0.49376480156343294</v>
      </c>
      <c r="H3" s="157">
        <f>'Πρόταση ανα ΑΠ'!J6+'Πρόταση ανα ΑΠ'!J7+'Πρόταση ανα ΑΠ'!J8+'Πρόταση ανα ΑΠ'!J9</f>
        <v>140000000</v>
      </c>
      <c r="I3" s="157">
        <f>'Πρόταση ανα ΑΠ'!K6+'Πρόταση ανα ΑΠ'!K7+'Πρόταση ανα ΑΠ'!K8+'Πρόταση ανα ΑΠ'!K9</f>
        <v>119000000</v>
      </c>
      <c r="J3" s="149">
        <f>(I3-D3)/D3</f>
        <v>-0.55704420136800381</v>
      </c>
      <c r="K3" s="157">
        <f>'Πρόταση ανα ΑΠ'!M6+'Πρόταση ανα ΑΠ'!M7+'Πρόταση ανα ΑΠ'!M8+'Πρόταση ανα ΑΠ'!M9</f>
        <v>125000000</v>
      </c>
      <c r="L3" s="157">
        <f>'Πρόταση ανα ΑΠ'!N6+'Πρόταση ανα ΑΠ'!N7+'Πρόταση ανα ΑΠ'!N8+'Πρόταση ανα ΑΠ'!N9</f>
        <v>106250000</v>
      </c>
      <c r="M3" s="50">
        <f>K3-C3</f>
        <v>-192764506</v>
      </c>
      <c r="N3" s="50">
        <f t="shared" ref="N3:N15" si="0">L3-D3</f>
        <v>-162399830</v>
      </c>
      <c r="O3" s="149">
        <f>(L3-D3)/D3</f>
        <v>-0.60450375122143196</v>
      </c>
      <c r="P3" s="146"/>
      <c r="Q3" s="147"/>
    </row>
    <row r="4" spans="1:20" x14ac:dyDescent="0.25">
      <c r="A4" s="148" t="s">
        <v>59</v>
      </c>
      <c r="B4" s="53"/>
      <c r="C4" s="50">
        <f>'Πρόταση ανα ΑΠ'!E10+'Πρόταση ανα ΑΠ'!E11+'Πρόταση ανα ΑΠ'!E12+'Πρόταση ανα ΑΠ'!E13+'Πρόταση ανα ΑΠ'!E14+'Πρόταση ανα ΑΠ'!E15+'Πρόταση ανα ΑΠ'!E16</f>
        <v>681467833</v>
      </c>
      <c r="D4" s="50">
        <f>'Πρόταση ανα ΑΠ'!F10+'Πρόταση ανα ΑΠ'!F11+'Πρόταση ανα ΑΠ'!F12+'Πρόταση ανα ΑΠ'!F13+'Πρόταση ανα ΑΠ'!F14+'Πρόταση ανα ΑΠ'!F15+'Πρόταση ανα ΑΠ'!F16</f>
        <v>573077052</v>
      </c>
      <c r="E4" s="50">
        <f>'Πρόταση ανα ΑΠ'!G10+'Πρόταση ανα ΑΠ'!G11+'Πρόταση ανα ΑΠ'!G12+'Πρόταση ανα ΑΠ'!G13+'Πρόταση ανα ΑΠ'!G14+'Πρόταση ανα ΑΠ'!G15+'Πρόταση ανα ΑΠ'!G16</f>
        <v>784000000</v>
      </c>
      <c r="F4" s="50">
        <f>'Πρόταση ανα ΑΠ'!H10+'Πρόταση ανα ΑΠ'!H11+'Πρόταση ανα ΑΠ'!H12+'Πρόταση ανα ΑΠ'!H13+'Πρόταση ανα ΑΠ'!H14+'Πρόταση ανα ΑΠ'!H15+'Πρόταση ανα ΑΠ'!H16</f>
        <v>660450000</v>
      </c>
      <c r="G4" s="149">
        <f t="shared" ref="G4:G15" si="1">(F4-D4)/D4</f>
        <v>0.15246282798285909</v>
      </c>
      <c r="H4" s="50">
        <f>'Πρόταση ανα ΑΠ'!J10+'Πρόταση ανα ΑΠ'!J11+'Πρόταση ανα ΑΠ'!J12+'Πρόταση ανα ΑΠ'!J13+'Πρόταση ανα ΑΠ'!J14+'Πρόταση ανα ΑΠ'!J15+'Πρόταση ανα ΑΠ'!J16</f>
        <v>720174665</v>
      </c>
      <c r="I4" s="50">
        <f>'Πρόταση ανα ΑΠ'!K10+'Πρόταση ανα ΑΠ'!K11+'Πρόταση ανα ΑΠ'!K12+'Πρόταση ανα ΑΠ'!K13+'Πρόταση ανα ΑΠ'!K14+'Πρόταση ανα ΑΠ'!K15+'Πρόταση ανα ΑΠ'!K16</f>
        <v>606742215</v>
      </c>
      <c r="J4" s="149">
        <f t="shared" ref="J4:J15" si="2">(I4-D4)/D4</f>
        <v>5.8744566515987452E-2</v>
      </c>
      <c r="K4" s="50">
        <f>'Πρόταση ανα ΑΠ'!M10+'Πρόταση ανα ΑΠ'!M11+'Πρόταση ανα ΑΠ'!M12+'Πρόταση ανα ΑΠ'!M13+'Πρόταση ανα ΑΠ'!M14+'Πρόταση ανα ΑΠ'!M15+'Πρόταση ανα ΑΠ'!M16</f>
        <v>695862106</v>
      </c>
      <c r="L4" s="50">
        <f>'Πρόταση ανα ΑΠ'!N10+'Πρόταση ανα ΑΠ'!N11+'Πρόταση ανα ΑΠ'!N12+'Πρόταση ανα ΑΠ'!N13+'Πρόταση ανα ΑΠ'!N14+'Πρόταση ανα ΑΠ'!N15+'Πρόταση ανα ΑΠ'!N16</f>
        <v>585545290</v>
      </c>
      <c r="M4" s="50">
        <f t="shared" ref="M4:M15" si="3">K4-C4</f>
        <v>14394273</v>
      </c>
      <c r="N4" s="50">
        <f t="shared" si="0"/>
        <v>12468238</v>
      </c>
      <c r="O4" s="149">
        <f t="shared" ref="O3:O15" si="4">(L4-D4)/D4</f>
        <v>2.1756652018235064E-2</v>
      </c>
      <c r="P4" s="146"/>
      <c r="Q4" s="147"/>
    </row>
    <row r="5" spans="1:20" x14ac:dyDescent="0.25">
      <c r="A5" s="148" t="s">
        <v>60</v>
      </c>
      <c r="B5" s="53"/>
      <c r="C5" s="50">
        <f>'Πρόταση ανα ΑΠ'!E17</f>
        <v>154556495</v>
      </c>
      <c r="D5" s="50">
        <f>'Πρόταση ανα ΑΠ'!F17</f>
        <v>131373020</v>
      </c>
      <c r="E5" s="50">
        <f>'Πρόταση ανα ΑΠ'!G17</f>
        <v>70000000</v>
      </c>
      <c r="F5" s="50">
        <f>'Πρόταση ανα ΑΠ'!H17</f>
        <v>59500000</v>
      </c>
      <c r="G5" s="149">
        <f t="shared" si="1"/>
        <v>-0.54709117595073931</v>
      </c>
      <c r="H5" s="50">
        <f>'Πρόταση ανα ΑΠ'!J17</f>
        <v>87740403</v>
      </c>
      <c r="I5" s="50">
        <f>'Πρόταση ανα ΑΠ'!K17</f>
        <v>74579342</v>
      </c>
      <c r="J5" s="149">
        <f t="shared" si="2"/>
        <v>-0.43230853641029188</v>
      </c>
      <c r="K5" s="50">
        <f>'Πρόταση ανα ΑΠ'!M17</f>
        <v>61483470</v>
      </c>
      <c r="L5" s="50">
        <f>'Πρόταση ανα ΑΠ'!N17</f>
        <v>52260949</v>
      </c>
      <c r="M5" s="50">
        <f t="shared" si="3"/>
        <v>-93073025</v>
      </c>
      <c r="N5" s="50">
        <f>L5-D5</f>
        <v>-79112071</v>
      </c>
      <c r="O5" s="149">
        <f t="shared" si="4"/>
        <v>-0.60219420243212796</v>
      </c>
      <c r="P5" s="146"/>
      <c r="Q5" s="147"/>
    </row>
    <row r="6" spans="1:20" x14ac:dyDescent="0.25">
      <c r="A6" s="148" t="s">
        <v>61</v>
      </c>
      <c r="B6" s="161"/>
      <c r="C6" s="50">
        <f>'Πρόταση ανα ΑΠ'!E18</f>
        <v>200745583</v>
      </c>
      <c r="D6" s="50">
        <f>'Πρόταση ανα ΑΠ'!F18</f>
        <v>170633745</v>
      </c>
      <c r="E6" s="50">
        <f>'Πρόταση ανα ΑΠ'!G18</f>
        <v>56000000</v>
      </c>
      <c r="F6" s="50">
        <f>'Πρόταση ανα ΑΠ'!H18</f>
        <v>47600000</v>
      </c>
      <c r="G6" s="149">
        <f t="shared" si="1"/>
        <v>-0.7210399384951669</v>
      </c>
      <c r="H6" s="50">
        <f>'Πρόταση ανα ΑΠ'!J18</f>
        <v>57706778</v>
      </c>
      <c r="I6" s="50">
        <f>'Πρόταση ανα ΑΠ'!K18</f>
        <v>49050761</v>
      </c>
      <c r="J6" s="149">
        <f t="shared" si="2"/>
        <v>-0.71253774568447759</v>
      </c>
      <c r="K6" s="50">
        <f>'Πρόταση ανα ΑΠ'!M18</f>
        <v>55000000</v>
      </c>
      <c r="L6" s="50">
        <f>'Πρόταση ανα ΑΠ'!N18</f>
        <v>46750000</v>
      </c>
      <c r="M6" s="50">
        <f t="shared" si="3"/>
        <v>-145745583</v>
      </c>
      <c r="N6" s="50">
        <f t="shared" si="0"/>
        <v>-123883745</v>
      </c>
      <c r="O6" s="149">
        <f t="shared" si="4"/>
        <v>-0.72602136816489615</v>
      </c>
      <c r="P6" s="146"/>
      <c r="Q6" s="147"/>
    </row>
    <row r="7" spans="1:20" x14ac:dyDescent="0.25">
      <c r="A7" s="148" t="s">
        <v>62</v>
      </c>
      <c r="B7" s="161"/>
      <c r="C7" s="50">
        <f>'Πρόταση ανα ΑΠ'!E19+'Πρόταση ανα ΑΠ'!E20+'Πρόταση ανα ΑΠ'!E21+'Πρόταση ανα ΑΠ'!E22</f>
        <v>1056638213</v>
      </c>
      <c r="D7" s="50">
        <f>'Πρόταση ανα ΑΠ'!F19+'Πρόταση ανα ΑΠ'!F20+'Πρόταση ανα ΑΠ'!F21+'Πρόταση ανα ΑΠ'!F22</f>
        <v>860346125</v>
      </c>
      <c r="E7" s="50">
        <f>'Πρόταση ανα ΑΠ'!G19+'Πρόταση ανα ΑΠ'!G20+'Πρόταση ανα ΑΠ'!G21+'Πρόταση ανα ΑΠ'!G22</f>
        <v>1013000000</v>
      </c>
      <c r="F7" s="50">
        <f>'Πρόταση ανα ΑΠ'!H19+'Πρόταση ανα ΑΠ'!H20+'Πρόταση ανα ΑΠ'!H21+'Πρόταση ανα ΑΠ'!H22</f>
        <v>823650000</v>
      </c>
      <c r="G7" s="149">
        <f t="shared" si="1"/>
        <v>-4.2652746300217252E-2</v>
      </c>
      <c r="H7" s="50">
        <f>'Πρόταση ανα ΑΠ'!J19+'Πρόταση ανα ΑΠ'!J20+'Πρόταση ανα ΑΠ'!J21+'Πρόταση ανα ΑΠ'!J22</f>
        <v>993514328</v>
      </c>
      <c r="I7" s="50">
        <f>'Πρόταση ανα ΑΠ'!K19+'Πρόταση ανα ΑΠ'!K20+'Πρόταση ανα ΑΠ'!K21+'Πρόταση ανα ΑΠ'!K22</f>
        <v>807177319</v>
      </c>
      <c r="J7" s="149">
        <f t="shared" si="2"/>
        <v>-6.1799320593208924E-2</v>
      </c>
      <c r="K7" s="50">
        <f>'Πρόταση ανα ΑΠ'!M19+'Πρόταση ανα ΑΠ'!M20+'Πρόταση ανα ΑΠ'!M21+'Πρόταση ανα ΑΠ'!M22</f>
        <v>988344328</v>
      </c>
      <c r="L7" s="50">
        <f>'Πρόταση ανα ΑΠ'!N19+'Πρόταση ανα ΑΠ'!N20+'Πρόταση ανα ΑΠ'!N21+'Πρόταση ανα ΑΠ'!N22</f>
        <v>802782819</v>
      </c>
      <c r="M7" s="50">
        <f t="shared" si="3"/>
        <v>-68293885</v>
      </c>
      <c r="N7" s="50">
        <f t="shared" si="0"/>
        <v>-57563306</v>
      </c>
      <c r="O7" s="149">
        <f t="shared" si="4"/>
        <v>-6.6907148561865151E-2</v>
      </c>
      <c r="P7" s="146"/>
      <c r="Q7" s="147"/>
    </row>
    <row r="8" spans="1:20" x14ac:dyDescent="0.25">
      <c r="A8" s="148" t="s">
        <v>63</v>
      </c>
      <c r="B8" s="161"/>
      <c r="C8" s="50">
        <f>'Πρόταση ανα ΑΠ'!E24+'Πρόταση ανα ΑΠ'!E25+'Πρόταση ανα ΑΠ'!E26+'Πρόταση ανα ΑΠ'!E27</f>
        <v>129924729</v>
      </c>
      <c r="D8" s="50">
        <f>'Πρόταση ανα ΑΠ'!F24+'Πρόταση ανα ΑΠ'!F25+'Πρόταση ανα ΑΠ'!F26+'Πρόταση ανα ΑΠ'!F27</f>
        <v>103939782</v>
      </c>
      <c r="E8" s="50">
        <f>'Πρόταση ανα ΑΠ'!G24+'Πρόταση ανα ΑΠ'!G25+'Πρόταση ανα ΑΠ'!G26+'Πρόταση ανα ΑΠ'!G27</f>
        <v>650999336</v>
      </c>
      <c r="F8" s="50">
        <f>'Πρόταση ανα ΑΠ'!H24+'Πρόταση ανα ΑΠ'!H25+'Πρόταση ανα ΑΠ'!H26+'Πρόταση ανα ΑΠ'!H27</f>
        <v>579599468</v>
      </c>
      <c r="G8" s="149">
        <f t="shared" si="1"/>
        <v>4.5763005929721885</v>
      </c>
      <c r="H8" s="50">
        <f>'Πρόταση ανα ΑΠ'!J24+'Πρόταση ανα ΑΠ'!J25+'Πρόταση ανα ΑΠ'!J26+'Πρόταση ανα ΑΠ'!J27</f>
        <v>699145424</v>
      </c>
      <c r="I8" s="50">
        <f>'Πρόταση ανα ΑΠ'!K24+'Πρόταση ανα ΑΠ'!K25+'Πρόταση ανα ΑΠ'!K26+'Πρόταση ανα ΑΠ'!K27</f>
        <v>624016338</v>
      </c>
      <c r="J8" s="149">
        <f t="shared" si="2"/>
        <v>5.0036333152978907</v>
      </c>
      <c r="K8" s="50">
        <f>'Πρόταση ανα ΑΠ'!M24+'Πρόταση ανα ΑΠ'!M25+'Πρόταση ανα ΑΠ'!M26+'Πρόταση ανα ΑΠ'!M27</f>
        <v>651645424</v>
      </c>
      <c r="L8" s="50">
        <f>'Πρόταση ανα ΑΠ'!N24+'Πρόταση ανα ΑΠ'!N25+'Πρόταση ανα ΑΠ'!N26+'Πρόταση ανα ΑΠ'!N27</f>
        <v>586016338</v>
      </c>
      <c r="M8" s="50">
        <f t="shared" si="3"/>
        <v>521720695</v>
      </c>
      <c r="N8" s="50">
        <f t="shared" si="0"/>
        <v>482076556</v>
      </c>
      <c r="O8" s="149">
        <f t="shared" si="4"/>
        <v>4.6380370126233288</v>
      </c>
      <c r="P8" s="146"/>
      <c r="Q8" s="147"/>
    </row>
    <row r="9" spans="1:20" x14ac:dyDescent="0.25">
      <c r="A9" s="148" t="s">
        <v>64</v>
      </c>
      <c r="B9" s="161"/>
      <c r="C9" s="50">
        <f>'Πρόταση ανα ΑΠ'!E29+'Πρόταση ανα ΑΠ'!E30+'Πρόταση ανα ΑΠ'!E31+'Πρόταση ανα ΑΠ'!E32+'Πρόταση ανα ΑΠ'!E33+'Πρόταση ανα ΑΠ'!E34+'Πρόταση ανα ΑΠ'!E38</f>
        <v>59955028</v>
      </c>
      <c r="D9" s="50">
        <f>'Πρόταση ανα ΑΠ'!F29+'Πρόταση ανα ΑΠ'!F30+'Πρόταση ανα ΑΠ'!F31+'Πρόταση ανα ΑΠ'!F32+'Πρόταση ανα ΑΠ'!F33+'Πρόταση ανα ΑΠ'!F34+'Πρόταση ανα ΑΠ'!F38</f>
        <v>48715624</v>
      </c>
      <c r="E9" s="50">
        <f>'Πρόταση ανα ΑΠ'!G29+'Πρόταση ανα ΑΠ'!G30+'Πρόταση ανα ΑΠ'!G31+'Πρόταση ανα ΑΠ'!G32+'Πρόταση ανα ΑΠ'!G33+'Πρόταση ανα ΑΠ'!G34+'Πρόταση ανα ΑΠ'!G38</f>
        <v>31777863</v>
      </c>
      <c r="F9" s="50">
        <f>'Πρόταση ανα ΑΠ'!H29+'Πρόταση ανα ΑΠ'!H30+'Πρόταση ανα ΑΠ'!H31+'Πρόταση ανα ΑΠ'!H32+'Πρόταση ανα ΑΠ'!H33+'Πρόταση ανα ΑΠ'!H34+'Πρόταση ανα ΑΠ'!H38</f>
        <v>25697389</v>
      </c>
      <c r="G9" s="149">
        <f t="shared" si="1"/>
        <v>-0.47250210733213638</v>
      </c>
      <c r="H9" s="50">
        <f>'Πρόταση ανα ΑΠ'!J29+'Πρόταση ανα ΑΠ'!J30+'Πρόταση ανα ΑΠ'!J31+'Πρόταση ανα ΑΠ'!J32+'Πρόταση ανα ΑΠ'!J33+'Πρόταση ανα ΑΠ'!J34+'Πρόταση ανα ΑΠ'!J38</f>
        <v>40427964</v>
      </c>
      <c r="I9" s="50">
        <f>'Πρόταση ανα ΑΠ'!K29+'Πρόταση ανα ΑΠ'!K30+'Πρόταση ανα ΑΠ'!K31+'Πρόταση ανα ΑΠ'!K32+'Πρόταση ανα ΑΠ'!K33+'Πρόταση ανα ΑΠ'!K34+'Πρόταση ανα ΑΠ'!K38</f>
        <v>32684231</v>
      </c>
      <c r="J9" s="149">
        <f t="shared" si="2"/>
        <v>-0.32908113832227626</v>
      </c>
      <c r="K9" s="50">
        <f>'Πρόταση ανα ΑΠ'!M29+'Πρόταση ανα ΑΠ'!M30+'Πρόταση ανα ΑΠ'!M31+'Πρόταση ανα ΑΠ'!M32+'Πρόταση ανα ΑΠ'!M33+'Πρόταση ανα ΑΠ'!M34+'Πρόταση ανα ΑΠ'!M38</f>
        <v>37093964</v>
      </c>
      <c r="L9" s="50">
        <f>'Πρόταση ανα ΑΠ'!N29+'Πρόταση ανα ΑΠ'!N30+'Πρόταση ανα ΑΠ'!N31+'Πρόταση ανα ΑΠ'!N32+'Πρόταση ανα ΑΠ'!N33+'Πρόταση ανα ΑΠ'!N34+'Πρόταση ανα ΑΠ'!N38</f>
        <v>29850331</v>
      </c>
      <c r="M9" s="50">
        <f t="shared" si="3"/>
        <v>-22861064</v>
      </c>
      <c r="N9" s="50">
        <f t="shared" si="0"/>
        <v>-18865293</v>
      </c>
      <c r="O9" s="149">
        <f t="shared" si="4"/>
        <v>-0.38725344049785754</v>
      </c>
      <c r="P9" s="146"/>
      <c r="Q9" s="147"/>
    </row>
    <row r="10" spans="1:20" x14ac:dyDescent="0.25">
      <c r="A10" s="148" t="s">
        <v>65</v>
      </c>
      <c r="B10" s="161"/>
      <c r="C10" s="50">
        <f>'Πρόταση ανα ΑΠ'!E28</f>
        <v>108277649</v>
      </c>
      <c r="D10" s="50">
        <f>'Πρόταση ανα ΑΠ'!F28</f>
        <v>92036001</v>
      </c>
      <c r="E10" s="50">
        <f>'Πρόταση ανα ΑΠ'!G28</f>
        <v>145000000</v>
      </c>
      <c r="F10" s="50">
        <f>'Πρόταση ανα ΑΠ'!H28</f>
        <v>123250000</v>
      </c>
      <c r="G10" s="149">
        <f t="shared" si="1"/>
        <v>0.33914988331576901</v>
      </c>
      <c r="H10" s="50">
        <f>'Πρόταση ανα ΑΠ'!J28</f>
        <v>138235295</v>
      </c>
      <c r="I10" s="50">
        <f>'Πρόταση ανα ΑΠ'!K28</f>
        <v>117500000</v>
      </c>
      <c r="J10" s="149">
        <f t="shared" si="2"/>
        <v>0.27667433095012461</v>
      </c>
      <c r="K10" s="50">
        <f>'Πρόταση ανα ΑΠ'!M28</f>
        <v>260000000</v>
      </c>
      <c r="L10" s="50">
        <f>'Πρόταση ανα ΑΠ'!N28</f>
        <v>221000000</v>
      </c>
      <c r="M10" s="50">
        <f t="shared" si="3"/>
        <v>151722351</v>
      </c>
      <c r="N10" s="50">
        <f t="shared" si="0"/>
        <v>128963999</v>
      </c>
      <c r="O10" s="149">
        <f t="shared" si="4"/>
        <v>1.4012342735317238</v>
      </c>
      <c r="P10" s="146"/>
      <c r="Q10" s="147"/>
    </row>
    <row r="11" spans="1:20" x14ac:dyDescent="0.25">
      <c r="A11" s="148" t="s">
        <v>66</v>
      </c>
      <c r="B11" s="161"/>
      <c r="C11" s="50">
        <f>'Πρόταση ανα ΑΠ'!E35+'Πρόταση ανα ΑΠ'!E41+'Πρόταση ανα ΑΠ'!E43</f>
        <v>825766236</v>
      </c>
      <c r="D11" s="50">
        <f>'Πρόταση ανα ΑΠ'!F35+'Πρόταση ανα ΑΠ'!F41+'Πρόταση ανα ΑΠ'!F43</f>
        <v>697077831</v>
      </c>
      <c r="E11" s="50">
        <f>'Πρόταση ανα ΑΠ'!G35+'Πρόταση ανα ΑΠ'!G41+'Πρόταση ανα ΑΠ'!G43</f>
        <v>464197867</v>
      </c>
      <c r="F11" s="50">
        <f>'Πρόταση ανα ΑΠ'!H35+'Πρόταση ανα ΑΠ'!H41+'Πρόταση ανα ΑΠ'!H43</f>
        <v>392556550</v>
      </c>
      <c r="G11" s="149">
        <f t="shared" si="1"/>
        <v>-0.43685406056185427</v>
      </c>
      <c r="H11" s="50">
        <f>'Πρόταση ανα ΑΠ'!J35+'Πρόταση ανα ΑΠ'!J41+'Πρόταση ανα ΑΠ'!J43</f>
        <v>552828149</v>
      </c>
      <c r="I11" s="50">
        <f>'Πρόταση ανα ΑΠ'!K35+'Πρόταση ανα ΑΠ'!K41+'Πρόταση ανα ΑΠ'!K43</f>
        <v>467873783</v>
      </c>
      <c r="J11" s="149">
        <f t="shared" si="2"/>
        <v>-0.32880696789796487</v>
      </c>
      <c r="K11" s="50">
        <f>'Πρόταση ανα ΑΠ'!M35+'Πρόταση ανα ΑΠ'!M41+'Πρόταση ανα ΑΠ'!M43</f>
        <v>552828149</v>
      </c>
      <c r="L11" s="50">
        <f>'Πρόταση ανα ΑΠ'!N35+'Πρόταση ανα ΑΠ'!N41+'Πρόταση ανα ΑΠ'!N43</f>
        <v>467873783</v>
      </c>
      <c r="M11" s="50">
        <f t="shared" si="3"/>
        <v>-272938087</v>
      </c>
      <c r="N11" s="50">
        <f t="shared" si="0"/>
        <v>-229204048</v>
      </c>
      <c r="O11" s="149">
        <f t="shared" si="4"/>
        <v>-0.32880696789796487</v>
      </c>
      <c r="P11" s="146"/>
      <c r="Q11" s="147"/>
    </row>
    <row r="12" spans="1:20" x14ac:dyDescent="0.25">
      <c r="A12" s="148" t="s">
        <v>45</v>
      </c>
      <c r="B12" s="53"/>
      <c r="C12" s="50">
        <f>'Πρόταση ανα ΑΠ'!E36+'Πρόταση ανα ΑΠ'!E40+'Πρόταση ανα ΑΠ'!E42+'Πρόταση ανα ΑΠ'!E44</f>
        <v>861344593</v>
      </c>
      <c r="D12" s="50">
        <f>'Πρόταση ανα ΑΠ'!F36+'Πρόταση ανα ΑΠ'!F40+'Πρόταση ανα ΑΠ'!F42+'Πρόταση ανα ΑΠ'!F44</f>
        <v>718381563</v>
      </c>
      <c r="E12" s="50">
        <f>'Πρόταση ανα ΑΠ'!G36+'Πρόταση ανα ΑΠ'!G40+'Πρόταση ανα ΑΠ'!G42+'Πρόταση ανα ΑΠ'!G44</f>
        <v>637594571</v>
      </c>
      <c r="F12" s="50">
        <f>'Πρόταση ανα ΑΠ'!H36+'Πρόταση ανα ΑΠ'!H40+'Πρόταση ανα ΑΠ'!H42+'Πρόταση ανα ΑΠ'!H44</f>
        <v>533793304</v>
      </c>
      <c r="G12" s="149">
        <f t="shared" si="1"/>
        <v>-0.25695016201299697</v>
      </c>
      <c r="H12" s="50">
        <f>'Πρόταση ανα ΑΠ'!J36+'Πρόταση ανα ΑΠ'!J40+'Πρόταση ανα ΑΠ'!J42+'Πρόταση ανα ΑΠ'!J44</f>
        <v>653360126</v>
      </c>
      <c r="I12" s="50">
        <f>'Πρόταση ανα ΑΠ'!K36+'Πρόταση ανα ΑΠ'!K40+'Πρόταση ανα ΑΠ'!K42+'Πρόταση ανα ΑΠ'!K44</f>
        <v>547382634</v>
      </c>
      <c r="J12" s="149">
        <f t="shared" si="2"/>
        <v>-0.23803357130422345</v>
      </c>
      <c r="K12" s="50">
        <f>'Πρόταση ανα ΑΠ'!M36+'Πρόταση ανα ΑΠ'!M40+'Πρόταση ανα ΑΠ'!M42+'Πρόταση ανα ΑΠ'!M44</f>
        <v>667553975</v>
      </c>
      <c r="L12" s="50">
        <f>'Πρόταση ανα ΑΠ'!N36+'Πρόταση ανα ΑΠ'!N40+'Πρόταση ανα ΑΠ'!N42+'Πρόταση ανα ΑΠ'!N44</f>
        <v>557603655</v>
      </c>
      <c r="M12" s="50">
        <f t="shared" si="3"/>
        <v>-193790618</v>
      </c>
      <c r="N12" s="50">
        <f t="shared" si="0"/>
        <v>-160777908</v>
      </c>
      <c r="O12" s="149">
        <f t="shared" si="4"/>
        <v>-0.22380572704090959</v>
      </c>
      <c r="P12" s="146"/>
      <c r="Q12" s="147"/>
    </row>
    <row r="13" spans="1:20" x14ac:dyDescent="0.25">
      <c r="A13" s="148" t="s">
        <v>46</v>
      </c>
      <c r="B13" s="53"/>
      <c r="C13" s="50">
        <f>'Πρόταση ανα ΑΠ'!E37</f>
        <v>127947956</v>
      </c>
      <c r="D13" s="50">
        <f>'Πρόταση ανα ΑΠ'!F37</f>
        <v>108755763</v>
      </c>
      <c r="E13" s="50">
        <f>'Πρόταση ανα ΑΠ'!G37</f>
        <v>330358795</v>
      </c>
      <c r="F13" s="50">
        <f>'Πρόταση ανα ΑΠ'!H37</f>
        <v>280804976</v>
      </c>
      <c r="G13" s="150">
        <f t="shared" si="1"/>
        <v>1.5819778948173993</v>
      </c>
      <c r="H13" s="50">
        <f>'Πρόταση ανα ΑΠ'!J37</f>
        <v>283823529</v>
      </c>
      <c r="I13" s="50">
        <f>'Πρόταση ανα ΑΠ'!K37</f>
        <v>241250000</v>
      </c>
      <c r="J13" s="150">
        <f t="shared" si="2"/>
        <v>1.2182732514138124</v>
      </c>
      <c r="K13" s="50">
        <f>'Πρόταση ανα ΑΠ'!M37</f>
        <v>290761353</v>
      </c>
      <c r="L13" s="50">
        <f>'Πρόταση ανα ΑΠ'!N37</f>
        <v>247147150</v>
      </c>
      <c r="M13" s="50">
        <f t="shared" si="3"/>
        <v>162813397</v>
      </c>
      <c r="N13" s="50">
        <f t="shared" si="0"/>
        <v>138391387</v>
      </c>
      <c r="O13" s="150">
        <f t="shared" si="4"/>
        <v>1.2724970445933979</v>
      </c>
      <c r="P13" s="146"/>
      <c r="Q13" s="147"/>
    </row>
    <row r="14" spans="1:20" x14ac:dyDescent="0.25">
      <c r="A14" s="148" t="s">
        <v>67</v>
      </c>
      <c r="B14" s="53"/>
      <c r="C14" s="50">
        <f>'Πρόταση ανα ΑΠ'!E39</f>
        <v>32306182</v>
      </c>
      <c r="D14" s="50">
        <f>'Πρόταση ανα ΑΠ'!F39</f>
        <v>27460254</v>
      </c>
      <c r="E14" s="50">
        <f>'Πρόταση ανα ΑΠ'!G39</f>
        <v>195541476</v>
      </c>
      <c r="F14" s="50">
        <f>'Πρόταση ανα ΑΠ'!H39</f>
        <v>166210254</v>
      </c>
      <c r="G14" s="150">
        <f t="shared" si="1"/>
        <v>5.0527573415744804</v>
      </c>
      <c r="H14" s="50">
        <f>'Πρόταση ανα ΑΠ'!J39</f>
        <v>179241551</v>
      </c>
      <c r="I14" s="50">
        <f>'Πρόταση ανα ΑΠ'!K39</f>
        <v>152355318</v>
      </c>
      <c r="J14" s="150">
        <f t="shared" si="2"/>
        <v>4.548212263440826</v>
      </c>
      <c r="K14" s="50">
        <f>'Πρόταση ανα ΑΠ'!M39</f>
        <v>160625442</v>
      </c>
      <c r="L14" s="50">
        <f>'Πρόταση ανα ΑΠ'!N39</f>
        <v>136531626</v>
      </c>
      <c r="M14" s="50">
        <f t="shared" si="3"/>
        <v>128319260</v>
      </c>
      <c r="N14" s="50">
        <f t="shared" si="0"/>
        <v>109071372</v>
      </c>
      <c r="O14" s="150">
        <f t="shared" si="4"/>
        <v>3.9719724369628917</v>
      </c>
      <c r="P14" s="146"/>
      <c r="Q14" s="147"/>
    </row>
    <row r="15" spans="1:20" ht="43.5" customHeight="1" x14ac:dyDescent="0.25">
      <c r="A15" s="151" t="s">
        <v>68</v>
      </c>
      <c r="B15" s="53"/>
      <c r="C15" s="50">
        <f>'Πρόταση ανα ΑΠ'!E46+'Πρόταση ανα ΑΠ'!E47+'Πρόταση ανα ΑΠ'!E48+'Πρόταση ανα ΑΠ'!E49</f>
        <v>95404896</v>
      </c>
      <c r="D15" s="50">
        <f>'Πρόταση ανα ΑΠ'!F46+'Πρόταση ανα ΑΠ'!F47+'Πρόταση ανα ΑΠ'!F48+'Πρόταση ανα ΑΠ'!F49</f>
        <v>79765351</v>
      </c>
      <c r="E15" s="50">
        <f>'Πρόταση ανα ΑΠ'!G46+'Πρόταση ανα ΑΠ'!G47+'Πρόταση ανα ΑΠ'!G48+'Πρόταση ανα ΑΠ'!G49</f>
        <v>61000000</v>
      </c>
      <c r="F15" s="50">
        <f>'Πρόταση ανα ΑΠ'!H46+'Πρόταση ανα ΑΠ'!H47+'Πρόταση ανα ΑΠ'!H48+'Πρόταση ανα ΑΠ'!H49</f>
        <v>51100000</v>
      </c>
      <c r="G15" s="150">
        <f t="shared" si="1"/>
        <v>-0.3593709629636056</v>
      </c>
      <c r="H15" s="50">
        <f>'Πρόταση ανα ΑΠ'!J46+'Πρόταση ανα ΑΠ'!J47+'Πρόταση ανα ΑΠ'!J48+'Πρόταση ανα ΑΠ'!J49</f>
        <v>48492648</v>
      </c>
      <c r="I15" s="50">
        <f>'Πρόταση ανα ΑΠ'!K46+'Πρόταση ανα ΑΠ'!K47+'Πρόταση ανα ΑΠ'!K48+'Πρόταση ανα ΑΠ'!K49</f>
        <v>40600000</v>
      </c>
      <c r="J15" s="150">
        <f t="shared" si="2"/>
        <v>-0.49100706646423459</v>
      </c>
      <c r="K15" s="50">
        <f>'Πρόταση ανα ΑΠ'!M46+'Πρόταση ανα ΑΠ'!M47+'Πρόταση ανα ΑΠ'!M48+'Πρόταση ανα ΑΠ'!M49</f>
        <v>48492648</v>
      </c>
      <c r="L15" s="50">
        <f>'Πρόταση ανα ΑΠ'!N46+'Πρόταση ανα ΑΠ'!N47+'Πρόταση ανα ΑΠ'!N48+'Πρόταση ανα ΑΠ'!N49</f>
        <v>40600000</v>
      </c>
      <c r="M15" s="50">
        <f t="shared" si="3"/>
        <v>-46912248</v>
      </c>
      <c r="N15" s="50">
        <f t="shared" si="0"/>
        <v>-39165351</v>
      </c>
      <c r="O15" s="150">
        <f t="shared" si="4"/>
        <v>-0.49100706646423459</v>
      </c>
      <c r="P15" s="146"/>
      <c r="Q15" s="147"/>
      <c r="R15" s="158" t="s">
        <v>81</v>
      </c>
      <c r="S15" s="158" t="s">
        <v>82</v>
      </c>
      <c r="T15" s="158" t="s">
        <v>83</v>
      </c>
    </row>
    <row r="16" spans="1:20" x14ac:dyDescent="0.25">
      <c r="A16" s="152"/>
      <c r="B16" s="153"/>
      <c r="C16" s="51">
        <f t="shared" ref="C16:N16" si="5">SUM(C3:C15)</f>
        <v>4652099899</v>
      </c>
      <c r="D16" s="51">
        <f t="shared" si="5"/>
        <v>3880211941</v>
      </c>
      <c r="E16" s="51">
        <f t="shared" si="5"/>
        <v>4599469908</v>
      </c>
      <c r="F16" s="51">
        <f t="shared" si="5"/>
        <v>3880211941</v>
      </c>
      <c r="G16" s="51"/>
      <c r="H16" s="51">
        <f t="shared" si="5"/>
        <v>4594690860</v>
      </c>
      <c r="I16" s="51">
        <f t="shared" si="5"/>
        <v>3880211941</v>
      </c>
      <c r="J16" s="51"/>
      <c r="K16" s="51">
        <f t="shared" si="5"/>
        <v>4594690859</v>
      </c>
      <c r="L16" s="51">
        <f t="shared" si="5"/>
        <v>3880211941</v>
      </c>
      <c r="M16" s="51">
        <f t="shared" si="5"/>
        <v>-57409040</v>
      </c>
      <c r="N16" s="51">
        <f t="shared" si="5"/>
        <v>0</v>
      </c>
      <c r="O16" s="154"/>
      <c r="P16" s="146"/>
      <c r="R16" s="214">
        <f>L16/K16</f>
        <v>0.84449902291021572</v>
      </c>
      <c r="S16" s="216">
        <f>C16-K16</f>
        <v>57409040</v>
      </c>
      <c r="T16" s="216">
        <f>K16-L16</f>
        <v>714478918</v>
      </c>
    </row>
    <row r="17" spans="1:18" ht="17.25" customHeight="1" x14ac:dyDescent="0.25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R17" s="215"/>
    </row>
    <row r="18" spans="1:18" ht="57" customHeight="1" x14ac:dyDescent="0.25">
      <c r="A18" s="22"/>
      <c r="B18" s="22"/>
      <c r="C18" s="208" t="s">
        <v>0</v>
      </c>
      <c r="D18" s="208"/>
      <c r="E18" s="209" t="str">
        <f>E1</f>
        <v>Προτεινόμενο ΣΕΝΑΡΙΟ 
(Μάιος 2023)</v>
      </c>
      <c r="F18" s="209"/>
      <c r="G18" s="159" t="s">
        <v>52</v>
      </c>
      <c r="H18" s="211" t="s">
        <v>75</v>
      </c>
      <c r="I18" s="211"/>
      <c r="J18" s="160" t="s">
        <v>52</v>
      </c>
      <c r="K18" s="210" t="str">
        <f>K1</f>
        <v>Προτεινόμενο ΝΈΟ ΣΕΝΑΡΙΟ 
(DANIEL)</v>
      </c>
      <c r="L18" s="210"/>
      <c r="M18" s="210" t="s">
        <v>57</v>
      </c>
      <c r="N18" s="210"/>
      <c r="O18" s="158" t="s">
        <v>69</v>
      </c>
      <c r="P18" s="158" t="s">
        <v>79</v>
      </c>
      <c r="R18" s="158" t="s">
        <v>80</v>
      </c>
    </row>
    <row r="19" spans="1:18" x14ac:dyDescent="0.25">
      <c r="A19" s="22"/>
      <c r="B19" s="22"/>
      <c r="C19" s="52" t="s">
        <v>4</v>
      </c>
      <c r="D19" s="52" t="s">
        <v>6</v>
      </c>
      <c r="E19" s="162" t="s">
        <v>4</v>
      </c>
      <c r="F19" s="162" t="s">
        <v>6</v>
      </c>
      <c r="G19" s="162" t="s">
        <v>6</v>
      </c>
      <c r="H19" s="163" t="s">
        <v>4</v>
      </c>
      <c r="I19" s="163" t="s">
        <v>6</v>
      </c>
      <c r="J19" s="163" t="s">
        <v>6</v>
      </c>
      <c r="K19" s="164" t="s">
        <v>4</v>
      </c>
      <c r="L19" s="164" t="s">
        <v>6</v>
      </c>
      <c r="M19" s="164" t="s">
        <v>4</v>
      </c>
      <c r="N19" s="164" t="s">
        <v>6</v>
      </c>
      <c r="O19" s="164" t="s">
        <v>6</v>
      </c>
      <c r="P19" s="164" t="s">
        <v>6</v>
      </c>
      <c r="R19" s="164" t="s">
        <v>6</v>
      </c>
    </row>
    <row r="20" spans="1:18" x14ac:dyDescent="0.25">
      <c r="A20" s="155" t="s">
        <v>70</v>
      </c>
      <c r="B20" s="156" t="s">
        <v>18</v>
      </c>
      <c r="C20" s="50">
        <f>'Πρόταση ανα ΑΠ'!E6+'Πρόταση ανα ΑΠ'!E10+'Πρόταση ανα ΑΠ'!E18+'Πρόταση ανα ΑΠ'!E17+'Πρόταση ανα ΑΠ'!E22</f>
        <v>1502833439</v>
      </c>
      <c r="D20" s="50">
        <f>'Πρόταση ανα ΑΠ'!F6+'Πρόταση ανα ΑΠ'!F10+'Πρόταση ανα ΑΠ'!F18+'Πρόταση ανα ΑΠ'!F17+'Πρόταση ανα ΑΠ'!F22</f>
        <v>1277408421</v>
      </c>
      <c r="E20" s="50">
        <f>'Πρόταση ανα ΑΠ'!G6+'Πρόταση ανα ΑΠ'!G10+'Πρόταση ανα ΑΠ'!G18+'Πρόταση ανα ΑΠ'!G17+'Πρόταση ανα ΑΠ'!G22</f>
        <v>1216000000</v>
      </c>
      <c r="F20" s="50">
        <f>'Πρόταση ανα ΑΠ'!H6+'Πρόταση ανα ΑΠ'!H10+'Πρόταση ανα ΑΠ'!H18+'Πρόταση ανα ΑΠ'!H17+'Πρόταση ανα ΑΠ'!H22</f>
        <v>1033600000</v>
      </c>
      <c r="G20" s="50">
        <f>F20-D20</f>
        <v>-243808421</v>
      </c>
      <c r="H20" s="50">
        <f>'Πρόταση ανα ΑΠ'!J6+'Πρόταση ανα ΑΠ'!J10+'Πρόταση ανα ΑΠ'!J18+'Πρόταση ανα ΑΠ'!J17+'Πρόταση ανα ΑΠ'!J22</f>
        <v>1144814009</v>
      </c>
      <c r="I20" s="50">
        <f>'Πρόταση ανα ΑΠ'!K6+'Πρόταση ανα ΑΠ'!K10+'Πρόταση ανα ΑΠ'!K18+'Πρόταση ανα ΑΠ'!K17+'Πρόταση ανα ΑΠ'!K22</f>
        <v>973091906</v>
      </c>
      <c r="J20" s="150">
        <f t="shared" ref="J20:J25" si="6">(I20-D20)/D20</f>
        <v>-0.23822961395680356</v>
      </c>
      <c r="K20" s="50">
        <f>'Πρόταση ανα ΑΠ'!M6+'Πρόταση ανα ΑΠ'!M10+'Πρόταση ανα ΑΠ'!M18+'Πρόταση ανα ΑΠ'!M17+'Πρόταση ανα ΑΠ'!M22</f>
        <v>1060742739</v>
      </c>
      <c r="L20" s="50">
        <f>'Πρόταση ανα ΑΠ'!N6+'Πρόταση ανα ΑΠ'!N10+'Πρόταση ανα ΑΠ'!N18+'Πρόταση ανα ΑΠ'!N17+'Πρόταση ανα ΑΠ'!N22</f>
        <v>901631327</v>
      </c>
      <c r="M20" s="50">
        <f>K20-C20</f>
        <v>-442090700</v>
      </c>
      <c r="N20" s="50">
        <f>L20-D20</f>
        <v>-375777094</v>
      </c>
      <c r="O20" s="206">
        <f>N20+N21</f>
        <v>-410490714</v>
      </c>
      <c r="P20" s="212">
        <f>SUM(L20:L21)/$L$26</f>
        <v>0.4106963955142367</v>
      </c>
      <c r="R20" s="213">
        <f>O20/(D20+D21)</f>
        <v>-0.20482753218468192</v>
      </c>
    </row>
    <row r="21" spans="1:18" x14ac:dyDescent="0.25">
      <c r="A21" s="155"/>
      <c r="B21" s="156" t="s">
        <v>21</v>
      </c>
      <c r="C21" s="50">
        <f>'Πρόταση ανα ΑΠ'!E9+'Πρόταση ανα ΑΠ'!E12+'Πρόταση ανα ΑΠ'!E15+'Πρόταση ανα ΑΠ'!E14+'Πρόταση ανα ΑΠ'!E19</f>
        <v>908339191</v>
      </c>
      <c r="D21" s="50">
        <f>'Πρόταση ανα ΑΠ'!F9+'Πρόταση ανα ΑΠ'!F12+'Πρόταση ανα ΑΠ'!F15+'Πρόταση ανα ΑΠ'!F14+'Πρόταση ανα ΑΠ'!F19</f>
        <v>726671351</v>
      </c>
      <c r="E21" s="50">
        <f>'Πρόταση ανα ΑΠ'!G9+'Πρόταση ανα ΑΠ'!G12+'Πρόταση ανα ΑΠ'!G15+'Πρόταση ανα ΑΠ'!G14+'Πρόταση ανα ΑΠ'!G19</f>
        <v>867000000</v>
      </c>
      <c r="F21" s="50">
        <f>'Πρόταση ανα ΑΠ'!H9+'Πρόταση ανα ΑΠ'!H12+'Πρόταση ανα ΑΠ'!H15+'Πρόταση ανα ΑΠ'!H14+'Πρόταση ανα ΑΠ'!H19</f>
        <v>693600000</v>
      </c>
      <c r="G21" s="50">
        <f t="shared" ref="G21:G25" si="7">F21-D21</f>
        <v>-33071351</v>
      </c>
      <c r="H21" s="50">
        <f>'Πρόταση ανα ΑΠ'!J9+'Πρόταση ανα ΑΠ'!J12+'Πρόταση ανα ΑΠ'!J15+'Πρόταση ανα ΑΠ'!J14+'Πρόταση ανα ΑΠ'!J19</f>
        <v>854322165</v>
      </c>
      <c r="I21" s="50">
        <f>'Πρόταση ανα ΑΠ'!K9+'Πρόταση ανα ΑΠ'!K12+'Πρόταση ανα ΑΠ'!K15+'Πρόταση ανα ΑΠ'!K14+'Πρόταση ανα ΑΠ'!K19</f>
        <v>683457731</v>
      </c>
      <c r="J21" s="150">
        <f t="shared" si="6"/>
        <v>-5.946790105393876E-2</v>
      </c>
      <c r="K21" s="50">
        <f>'Πρόταση ανα ΑΠ'!M9+'Πρόταση ανα ΑΠ'!M12+'Πρόταση ανα ΑΠ'!M15+'Πρόταση ανα ΑΠ'!M14+'Πρόταση ανα ΑΠ'!M19</f>
        <v>864947165</v>
      </c>
      <c r="L21" s="50">
        <f>'Πρόταση ανα ΑΠ'!N9+'Πρόταση ανα ΑΠ'!N12+'Πρόταση ανα ΑΠ'!N15+'Πρόταση ανα ΑΠ'!N14+'Πρόταση ανα ΑΠ'!N19</f>
        <v>691957731</v>
      </c>
      <c r="M21" s="50">
        <f>K21-C21</f>
        <v>-43392026</v>
      </c>
      <c r="N21" s="50">
        <f t="shared" ref="N21:N25" si="8">L21-D21</f>
        <v>-34713620</v>
      </c>
      <c r="O21" s="207"/>
      <c r="P21" s="212"/>
      <c r="R21" s="207"/>
    </row>
    <row r="22" spans="1:18" x14ac:dyDescent="0.25">
      <c r="A22" s="155" t="s">
        <v>71</v>
      </c>
      <c r="B22" s="156" t="s">
        <v>18</v>
      </c>
      <c r="C22" s="50">
        <f>'Πρόταση ανα ΑΠ'!E27+'Πρόταση ανα ΑΠ'!E28+'Πρόταση ανα ΑΠ'!E35+'Πρόταση ανα ΑΠ'!E36+'Πρόταση ανα ΑΠ'!E37+'Πρόταση ανα ΑΠ'!E38+'Πρόταση ανα ΑΠ'!E39</f>
        <v>1621946444</v>
      </c>
      <c r="D22" s="50">
        <f>'Πρόταση ανα ΑΠ'!F27+'Πρόταση ανα ΑΠ'!F28+'Πρόταση ανα ΑΠ'!F35+'Πρόταση ανα ΑΠ'!F36+'Πρόταση ανα ΑΠ'!F37+'Πρόταση ανα ΑΠ'!F38+'Πρόταση ανα ΑΠ'!F39</f>
        <v>1378654476</v>
      </c>
      <c r="E22" s="50">
        <f>'Πρόταση ανα ΑΠ'!G27+'Πρόταση ανα ΑΠ'!G28+'Πρόταση ανα ΑΠ'!G35+'Πρόταση ανα ΑΠ'!G36+'Πρόταση ανα ΑΠ'!G37+'Πρόταση ανα ΑΠ'!G38+'Πρόταση ανα ΑΠ'!G39</f>
        <v>1879726228</v>
      </c>
      <c r="F22" s="50">
        <f>'Πρόταση ανα ΑΠ'!H27+'Πρόταση ανα ΑΠ'!H28+'Πρόταση ανα ΑΠ'!H35+'Πρόταση ανα ΑΠ'!H36+'Πρόταση ανα ΑΠ'!H37+'Πρόταση ανα ΑΠ'!H38+'Πρόταση ανα ΑΠ'!H39</f>
        <v>1641867293</v>
      </c>
      <c r="G22" s="50">
        <f t="shared" si="7"/>
        <v>263212817</v>
      </c>
      <c r="H22" s="50">
        <f>'Πρόταση ανα ΑΠ'!J27+'Πρόταση ανα ΑΠ'!J28+'Πρόταση ανα ΑΠ'!J35+'Πρόταση ανα ΑΠ'!J36+'Πρόταση ανα ΑΠ'!J37+'Πρόταση ανα ΑΠ'!J38+'Πρόταση ανα ΑΠ'!J39</f>
        <v>1955588692</v>
      </c>
      <c r="I22" s="50">
        <f>'Πρόταση ανα ΑΠ'!K27+'Πρόταση ανα ΑΠ'!K28+'Πρόταση ανα ΑΠ'!K35+'Πρόταση ανα ΑΠ'!K36+'Πρόταση ανα ΑΠ'!K37+'Πρόταση ανα ΑΠ'!K38+'Πρόταση ανα ΑΠ'!K39</f>
        <v>1710775387</v>
      </c>
      <c r="J22" s="150">
        <f t="shared" si="6"/>
        <v>0.24090221065658804</v>
      </c>
      <c r="K22" s="50">
        <f>'Πρόταση ανα ΑΠ'!M27+'Πρόταση ανα ΑΠ'!M28+'Πρόταση ανα ΑΠ'!M35+'Πρόταση ανα ΑΠ'!M36+'Πρόταση ανα ΑΠ'!M37+'Πρόταση ανα ΑΠ'!M38+'Πρόταση ανα ΑΠ'!M39</f>
        <v>2039659961</v>
      </c>
      <c r="L22" s="50">
        <f>'Πρόταση ανα ΑΠ'!N27+'Πρόταση ανα ΑΠ'!N28+'Πρόταση ανα ΑΠ'!N35+'Πρόταση ανα ΑΠ'!N36+'Πρόταση ανα ΑΠ'!N37+'Πρόταση ανα ΑΠ'!N38+'Πρόταση ανα ΑΠ'!N39</f>
        <v>1782235966</v>
      </c>
      <c r="M22" s="50">
        <f>K22-C22</f>
        <v>417713517</v>
      </c>
      <c r="N22" s="50">
        <f t="shared" si="8"/>
        <v>403581490</v>
      </c>
      <c r="O22" s="206">
        <f>N22+N23</f>
        <v>449656065</v>
      </c>
      <c r="P22" s="212">
        <f>SUM(L22:L23)/$L$26</f>
        <v>0.57884025850947718</v>
      </c>
      <c r="R22" s="213">
        <f>O22/(D22+D23)</f>
        <v>0.25031416773809501</v>
      </c>
    </row>
    <row r="23" spans="1:18" x14ac:dyDescent="0.25">
      <c r="A23" s="155"/>
      <c r="B23" s="156" t="s">
        <v>21</v>
      </c>
      <c r="C23" s="50">
        <f>'Πρόταση ανα ΑΠ'!E24+'Πρόταση ανα ΑΠ'!E25+'Πρόταση ανα ΑΠ'!E26+'Πρόταση ανα ΑΠ'!E29+'Πρόταση ανα ΑΠ'!E30+'Πρόταση ανα ΑΠ'!E31+'Πρόταση ανα ΑΠ'!E33+'Πρόταση ανα ΑΠ'!E34+'Πρόταση ανα ΑΠ'!E40+'Πρόταση ανα ΑΠ'!E41+'Πρόταση ανα ΑΠ'!E42+'Πρόταση ανα ΑΠ'!E43+'Πρόταση ανα ΑΠ'!E44</f>
        <v>523575929</v>
      </c>
      <c r="D23" s="50">
        <f>'Πρόταση ανα ΑΠ'!F24+'Πρόταση ανα ΑΠ'!F25+'Πρόταση ανα ΑΠ'!F26+'Πρόταση ανα ΑΠ'!F29+'Πρόταση ανα ΑΠ'!F30+'Πρόταση ανα ΑΠ'!F31+'Πρόταση ανα ΑΠ'!F33+'Πρόταση ανα ΑΠ'!F34+'Πρόταση ανα ΑΠ'!F40+'Πρόταση ανα ΑΠ'!F41+'Πρόταση ανα ΑΠ'!F42+'Πρόταση ανα ΑΠ'!F43+'Πρόταση ανα ΑΠ'!F44</f>
        <v>417712342</v>
      </c>
      <c r="E23" s="50">
        <f>'Πρόταση ανα ΑΠ'!G24+'Πρόταση ανα ΑΠ'!G25+'Πρόταση ανα ΑΠ'!G26+'Πρόταση ανα ΑΠ'!G29+'Πρόταση ανα ΑΠ'!G30+'Πρόταση ανα ΑΠ'!G31+'Πρόταση ανα ΑΠ'!G33+'Πρόταση ανα ΑΠ'!G34+'Πρόταση ανα ΑΠ'!G40+'Πρόταση ανα ΑΠ'!G41+'Πρόταση ανα ΑΠ'!G42+'Πρόταση ανα ΑΠ'!G43+'Πρόταση ανα ΑΠ'!G44</f>
        <v>575743680</v>
      </c>
      <c r="F23" s="50">
        <f>'Πρόταση ανα ΑΠ'!H24+'Πρόταση ανα ΑΠ'!H25+'Πρόταση ανα ΑΠ'!H26+'Πρόταση ανα ΑΠ'!H29+'Πρόταση ανα ΑΠ'!H30+'Πρόταση ανα ΑΠ'!H31+'Πρόταση ανα ΑΠ'!H33+'Πρόταση ανα ΑΠ'!H34+'Πρόταση ανα ΑΠ'!H40+'Πρόταση ανα ΑΠ'!H41+'Πρόταση ανα ΑΠ'!H42+'Πρόταση ανα ΑΠ'!H43+'Πρόταση ανα ΑΠ'!H44</f>
        <v>460044648</v>
      </c>
      <c r="G23" s="50">
        <f t="shared" si="7"/>
        <v>42332306</v>
      </c>
      <c r="H23" s="50">
        <f>'Πρόταση ανα ΑΠ'!J24+'Πρόταση ανα ΑΠ'!J25+'Πρόταση ανα ΑΠ'!J26+'Πρόταση ανα ΑΠ'!J29+'Πρόταση ανα ΑΠ'!J30+'Πρόταση ανα ΑΠ'!J31+'Πρόταση ανα ΑΠ'!J33+'Πρόταση ανα ΑΠ'!J34+'Πρόταση ανα ΑΠ'!J40+'Πρόταση ανα ΑΠ'!J41+'Πρόταση ανα ΑΠ'!J42+'Πρόταση ανα ΑΠ'!J43+'Πρόταση ανα ΑΠ'!J44</f>
        <v>591473346</v>
      </c>
      <c r="I23" s="50">
        <f>'Πρόταση ανα ΑΠ'!K24+'Πρόταση ανα ΑΠ'!K25+'Πρόταση ανα ΑΠ'!K26+'Πρόταση ανα ΑΠ'!K29+'Πρόταση ανα ΑΠ'!K30+'Πρόταση ανα ΑΠ'!K31+'Πρόταση ανα ΑΠ'!K33+'Πρόταση ανα ΑΠ'!K34+'Πρόταση ανα ΑΠ'!K40+'Πρόταση ανα ΑΠ'!K41+'Πρόταση ανα ΑΠ'!K42+'Πρόταση ανα ΑΠ'!K43+'Πρόταση ανα ΑΠ'!K44</f>
        <v>472286917</v>
      </c>
      <c r="J23" s="150">
        <f t="shared" si="6"/>
        <v>0.13065109529370814</v>
      </c>
      <c r="K23" s="50">
        <f>'Πρόταση ανα ΑΠ'!M24+'Πρόταση ανα ΑΠ'!M25+'Πρόταση ανα ΑΠ'!M26+'Πρόταση ανα ΑΠ'!M29+'Πρόταση ανα ΑΠ'!M30+'Πρόταση ανα ΑΠ'!M31+'Πρόταση ανα ΑΠ'!M33+'Πρόταση ανα ΑΠ'!M34+'Πρόταση ανα ΑΠ'!M40+'Πρόταση ανα ΑΠ'!M41+'Πρόταση ανα ΑΠ'!M42+'Πρόταση ανα ΑΠ'!M43+'Πρόταση ανα ΑΠ'!M44</f>
        <v>580848346</v>
      </c>
      <c r="L23" s="50">
        <f>'Πρόταση ανα ΑΠ'!N24+'Πρόταση ανα ΑΠ'!N25+'Πρόταση ανα ΑΠ'!N26+'Πρόταση ανα ΑΠ'!N29+'Πρόταση ανα ΑΠ'!N30+'Πρόταση ανα ΑΠ'!N31+'Πρόταση ανα ΑΠ'!N33+'Πρόταση ανα ΑΠ'!N34+'Πρόταση ανα ΑΠ'!N40+'Πρόταση ανα ΑΠ'!N41+'Πρόταση ανα ΑΠ'!N42+'Πρόταση ανα ΑΠ'!N43+'Πρόταση ανα ΑΠ'!N44</f>
        <v>463786917</v>
      </c>
      <c r="M23" s="50">
        <f>K23-C23</f>
        <v>57272417</v>
      </c>
      <c r="N23" s="50">
        <f t="shared" si="8"/>
        <v>46074575</v>
      </c>
      <c r="O23" s="207"/>
      <c r="P23" s="212"/>
      <c r="R23" s="207"/>
    </row>
    <row r="24" spans="1:18" x14ac:dyDescent="0.25">
      <c r="A24" s="155" t="s">
        <v>72</v>
      </c>
      <c r="B24" s="156" t="s">
        <v>18</v>
      </c>
      <c r="C24" s="50">
        <f>'Πρόταση ανα ΑΠ'!E49</f>
        <v>68828702</v>
      </c>
      <c r="D24" s="50">
        <f>'Πρόταση ανα ΑΠ'!F49</f>
        <v>58504396</v>
      </c>
      <c r="E24" s="50">
        <f>'Πρόταση ανα ΑΠ'!G49</f>
        <v>46000000</v>
      </c>
      <c r="F24" s="50">
        <f>'Πρόταση ανα ΑΠ'!H49</f>
        <v>39100000</v>
      </c>
      <c r="G24" s="50">
        <f t="shared" si="7"/>
        <v>-19404396</v>
      </c>
      <c r="H24" s="50">
        <f>'Πρόταση ανα ΑΠ'!J49</f>
        <v>36117648</v>
      </c>
      <c r="I24" s="50">
        <f>'Πρόταση ανα ΑΠ'!K49</f>
        <v>30700000</v>
      </c>
      <c r="J24" s="150">
        <f t="shared" si="6"/>
        <v>-0.4752531074758895</v>
      </c>
      <c r="K24" s="50">
        <f>'Πρόταση ανα ΑΠ'!M49</f>
        <v>36117648</v>
      </c>
      <c r="L24" s="50">
        <f>'Πρόταση ανα ΑΠ'!N49</f>
        <v>30700000</v>
      </c>
      <c r="M24" s="50">
        <f>K24-C24</f>
        <v>-32711054</v>
      </c>
      <c r="N24" s="50">
        <f t="shared" si="8"/>
        <v>-27804396</v>
      </c>
      <c r="O24" s="206">
        <f>N24+N25</f>
        <v>-39165351</v>
      </c>
      <c r="P24" s="212">
        <f>SUM(L24:L25)/$L$26</f>
        <v>1.0463345976286197E-2</v>
      </c>
      <c r="R24" s="213">
        <f>O24/(D24+D25)</f>
        <v>-0.49100706646423459</v>
      </c>
    </row>
    <row r="25" spans="1:18" x14ac:dyDescent="0.25">
      <c r="A25" s="155"/>
      <c r="B25" s="156" t="s">
        <v>21</v>
      </c>
      <c r="C25" s="50">
        <f>'Πρόταση ανα ΑΠ'!E46+'Πρόταση ανα ΑΠ'!E47+'Πρόταση ανα ΑΠ'!E48</f>
        <v>26576194</v>
      </c>
      <c r="D25" s="50">
        <f>'Πρόταση ανα ΑΠ'!F46+'Πρόταση ανα ΑΠ'!F47+'Πρόταση ανα ΑΠ'!F48</f>
        <v>21260955</v>
      </c>
      <c r="E25" s="50">
        <f>'Πρόταση ανα ΑΠ'!G46+'Πρόταση ανα ΑΠ'!G47+'Πρόταση ανα ΑΠ'!G48</f>
        <v>15000000</v>
      </c>
      <c r="F25" s="50">
        <f>'Πρόταση ανα ΑΠ'!H46+'Πρόταση ανα ΑΠ'!H47+'Πρόταση ανα ΑΠ'!H48</f>
        <v>12000000</v>
      </c>
      <c r="G25" s="50">
        <f t="shared" si="7"/>
        <v>-9260955</v>
      </c>
      <c r="H25" s="50">
        <f>'Πρόταση ανα ΑΠ'!J46+'Πρόταση ανα ΑΠ'!J47+'Πρόταση ανα ΑΠ'!J48</f>
        <v>12375000</v>
      </c>
      <c r="I25" s="50">
        <f>'Πρόταση ανα ΑΠ'!K46+'Πρόταση ανα ΑΠ'!K47+'Πρόταση ανα ΑΠ'!K48</f>
        <v>9900000</v>
      </c>
      <c r="J25" s="150">
        <f t="shared" si="6"/>
        <v>-0.53435769936016519</v>
      </c>
      <c r="K25" s="50">
        <f>'Πρόταση ανα ΑΠ'!M46+'Πρόταση ανα ΑΠ'!M47+'Πρόταση ανα ΑΠ'!M48</f>
        <v>12375000</v>
      </c>
      <c r="L25" s="50">
        <f>'Πρόταση ανα ΑΠ'!N46+'Πρόταση ανα ΑΠ'!N47+'Πρόταση ανα ΑΠ'!N48</f>
        <v>9900000</v>
      </c>
      <c r="M25" s="50">
        <f>K25-C25</f>
        <v>-14201194</v>
      </c>
      <c r="N25" s="50">
        <f t="shared" si="8"/>
        <v>-11360955</v>
      </c>
      <c r="O25" s="207"/>
      <c r="P25" s="212"/>
      <c r="R25" s="207"/>
    </row>
    <row r="26" spans="1:18" x14ac:dyDescent="0.25">
      <c r="A26" s="2"/>
      <c r="B26" s="2"/>
      <c r="C26" s="51">
        <f t="shared" ref="C26:N26" si="9">SUM(C20:C25)</f>
        <v>4652099899</v>
      </c>
      <c r="D26" s="51">
        <f t="shared" si="9"/>
        <v>3880211941</v>
      </c>
      <c r="E26" s="51">
        <f t="shared" si="9"/>
        <v>4599469908</v>
      </c>
      <c r="F26" s="51">
        <f t="shared" si="9"/>
        <v>3880211941</v>
      </c>
      <c r="G26" s="51">
        <f t="shared" si="9"/>
        <v>0</v>
      </c>
      <c r="H26" s="51">
        <f t="shared" si="9"/>
        <v>4594690860</v>
      </c>
      <c r="I26" s="51">
        <f t="shared" si="9"/>
        <v>3880211941</v>
      </c>
      <c r="J26" s="51"/>
      <c r="K26" s="51">
        <f t="shared" si="9"/>
        <v>4594690859</v>
      </c>
      <c r="L26" s="51">
        <f t="shared" si="9"/>
        <v>3880211941</v>
      </c>
      <c r="M26" s="51">
        <f t="shared" si="9"/>
        <v>-57409040</v>
      </c>
      <c r="N26" s="51">
        <f t="shared" si="9"/>
        <v>0</v>
      </c>
      <c r="O26" s="51">
        <f>SUM(O20:O25)</f>
        <v>0</v>
      </c>
      <c r="P26" s="51"/>
    </row>
    <row r="28" spans="1:18" ht="15.75" thickBot="1" x14ac:dyDescent="0.3"/>
    <row r="29" spans="1:18" x14ac:dyDescent="0.25">
      <c r="B29" s="229" t="s">
        <v>84</v>
      </c>
      <c r="C29" s="223">
        <f>C20+C21</f>
        <v>2411172630</v>
      </c>
      <c r="D29" s="224">
        <f>D20+D21</f>
        <v>2004079772</v>
      </c>
      <c r="E29" s="232"/>
      <c r="F29" s="232"/>
      <c r="G29" s="232"/>
      <c r="H29" s="232"/>
      <c r="I29" s="232"/>
      <c r="J29" s="232"/>
      <c r="K29" s="223">
        <f>K20+K21</f>
        <v>1925689904</v>
      </c>
      <c r="L29" s="224">
        <f>L20+L21</f>
        <v>1593589058</v>
      </c>
      <c r="M29" s="220">
        <f>K29-C29</f>
        <v>-485482726</v>
      </c>
      <c r="N29" s="217">
        <f>L29-D29</f>
        <v>-410490714</v>
      </c>
    </row>
    <row r="30" spans="1:18" x14ac:dyDescent="0.25">
      <c r="B30" s="230" t="s">
        <v>85</v>
      </c>
      <c r="C30" s="225">
        <f>C22+C23</f>
        <v>2145522373</v>
      </c>
      <c r="D30" s="226">
        <f>D22+D23</f>
        <v>1796366818</v>
      </c>
      <c r="E30" s="233"/>
      <c r="F30" s="233"/>
      <c r="G30" s="233"/>
      <c r="H30" s="233"/>
      <c r="I30" s="233"/>
      <c r="J30" s="233"/>
      <c r="K30" s="225">
        <f>K22+K23</f>
        <v>2620508307</v>
      </c>
      <c r="L30" s="226">
        <f>L22+L23</f>
        <v>2246022883</v>
      </c>
      <c r="M30" s="221">
        <f t="shared" ref="M30:M31" si="10">K30-C30</f>
        <v>474985934</v>
      </c>
      <c r="N30" s="218">
        <f t="shared" ref="N30:N31" si="11">L30-D30</f>
        <v>449656065</v>
      </c>
    </row>
    <row r="31" spans="1:18" ht="15.75" thickBot="1" x14ac:dyDescent="0.3">
      <c r="B31" s="231" t="s">
        <v>86</v>
      </c>
      <c r="C31" s="227">
        <f>C24+C25</f>
        <v>95404896</v>
      </c>
      <c r="D31" s="228">
        <f>D24+D25</f>
        <v>79765351</v>
      </c>
      <c r="E31" s="234"/>
      <c r="F31" s="234"/>
      <c r="G31" s="234"/>
      <c r="H31" s="234"/>
      <c r="I31" s="234"/>
      <c r="J31" s="234"/>
      <c r="K31" s="227">
        <f>K24+K25</f>
        <v>48492648</v>
      </c>
      <c r="L31" s="228">
        <f>L24+L25</f>
        <v>40600000</v>
      </c>
      <c r="M31" s="222">
        <f t="shared" si="10"/>
        <v>-46912248</v>
      </c>
      <c r="N31" s="219">
        <f t="shared" si="11"/>
        <v>-39165351</v>
      </c>
    </row>
  </sheetData>
  <mergeCells count="19">
    <mergeCell ref="R20:R21"/>
    <mergeCell ref="R22:R23"/>
    <mergeCell ref="R24:R25"/>
    <mergeCell ref="C1:D1"/>
    <mergeCell ref="E1:F1"/>
    <mergeCell ref="K1:L1"/>
    <mergeCell ref="M1:N1"/>
    <mergeCell ref="C18:D18"/>
    <mergeCell ref="E18:F18"/>
    <mergeCell ref="K18:L18"/>
    <mergeCell ref="M18:N18"/>
    <mergeCell ref="H1:I1"/>
    <mergeCell ref="H18:I18"/>
    <mergeCell ref="O20:O21"/>
    <mergeCell ref="O22:O23"/>
    <mergeCell ref="O24:O25"/>
    <mergeCell ref="P20:P21"/>
    <mergeCell ref="P22:P23"/>
    <mergeCell ref="P24:P25"/>
  </mergeCells>
  <pageMargins left="0.7" right="0.7" top="0.75" bottom="0.75" header="0.3" footer="0.3"/>
  <pageSetup paperSize="8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Πρόταση ανα ΑΠ</vt:lpstr>
      <vt:lpstr>Συνολική εικόνα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Γιώργος Δούκας</dc:creator>
  <cp:keywords/>
  <dc:description/>
  <cp:lastModifiedBy>Χριστίνα Δρίτσα</cp:lastModifiedBy>
  <cp:revision/>
  <cp:lastPrinted>2023-11-13T11:29:44Z</cp:lastPrinted>
  <dcterms:created xsi:type="dcterms:W3CDTF">2020-05-11T11:45:50Z</dcterms:created>
  <dcterms:modified xsi:type="dcterms:W3CDTF">2023-11-13T12:12:58Z</dcterms:modified>
  <cp:category/>
  <cp:contentStatus/>
</cp:coreProperties>
</file>